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1460" yWindow="2980" windowWidth="23120" windowHeight="18540" tabRatio="500" firstSheet="3" activeTab="5"/>
  </bookViews>
  <sheets>
    <sheet name="Zonpaneel_FR20" sheetId="1" r:id="rId1"/>
    <sheet name="ZonPaneel_APS500" sheetId="2" r:id="rId2"/>
    <sheet name="ZonPaneel_Steca1800" sheetId="3" r:id="rId3"/>
    <sheet name="ZonPaneel_7xAPS500" sheetId="4" r:id="rId4"/>
    <sheet name="ZonPaneel_3xBenQ" sheetId="6" r:id="rId5"/>
    <sheet name="ZonPaneel_18xKyocera2eh" sheetId="7" r:id="rId6"/>
    <sheet name="InvloedBomen" sheetId="8" r:id="rId7"/>
    <sheet name="AllePanelen" sheetId="9" r:id="rId8"/>
  </sheets>
  <calcPr calcId="140001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0" i="9" l="1"/>
  <c r="B40" i="9"/>
  <c r="C40" i="9"/>
  <c r="D40" i="9"/>
  <c r="E40" i="9"/>
  <c r="F40" i="9"/>
  <c r="G40" i="9"/>
  <c r="H40" i="9"/>
  <c r="I40" i="9"/>
  <c r="J40" i="9"/>
  <c r="K40" i="9"/>
  <c r="A40" i="9"/>
  <c r="E40" i="7"/>
  <c r="D40" i="7"/>
  <c r="C40" i="7"/>
  <c r="B40" i="7"/>
  <c r="A40" i="7"/>
  <c r="D44" i="6"/>
  <c r="C44" i="6"/>
  <c r="A44" i="6"/>
  <c r="D58" i="2"/>
  <c r="C58" i="2"/>
  <c r="A58" i="2"/>
  <c r="D55" i="4"/>
  <c r="C55" i="4"/>
  <c r="A55" i="4"/>
  <c r="D112" i="1"/>
  <c r="C112" i="1"/>
  <c r="E112" i="1"/>
  <c r="A112" i="1"/>
  <c r="D59" i="3"/>
  <c r="C59" i="3"/>
  <c r="B59" i="3"/>
  <c r="L39" i="9"/>
  <c r="A39" i="9"/>
  <c r="B39" i="9"/>
  <c r="C39" i="9"/>
  <c r="D39" i="9"/>
  <c r="E39" i="9"/>
  <c r="F39" i="9"/>
  <c r="G39" i="9"/>
  <c r="H39" i="9"/>
  <c r="I39" i="9"/>
  <c r="J39" i="9"/>
  <c r="K39" i="9"/>
  <c r="A111" i="1"/>
  <c r="D111" i="1"/>
  <c r="C111" i="1"/>
  <c r="E111" i="1"/>
  <c r="A57" i="2"/>
  <c r="D57" i="2"/>
  <c r="C57" i="2"/>
  <c r="C39" i="7"/>
  <c r="B39" i="7"/>
  <c r="A39" i="7"/>
  <c r="E39" i="7"/>
  <c r="D39" i="7"/>
  <c r="F39" i="7"/>
  <c r="B43" i="6"/>
  <c r="A43" i="6"/>
  <c r="D43" i="6"/>
  <c r="C43" i="6"/>
  <c r="B54" i="4"/>
  <c r="A54" i="4"/>
  <c r="D54" i="4"/>
  <c r="C54" i="4"/>
  <c r="B58" i="3"/>
  <c r="D58" i="3"/>
  <c r="C58" i="3"/>
  <c r="L38" i="9"/>
  <c r="A38" i="9"/>
  <c r="B38" i="9"/>
  <c r="C38" i="9"/>
  <c r="D38" i="9"/>
  <c r="E38" i="9"/>
  <c r="F38" i="9"/>
  <c r="G38" i="9"/>
  <c r="H38" i="9"/>
  <c r="I38" i="9"/>
  <c r="J38" i="9"/>
  <c r="K38" i="9"/>
  <c r="H6" i="7"/>
  <c r="F4" i="6"/>
  <c r="F4" i="4"/>
  <c r="F7" i="3"/>
  <c r="F5" i="2"/>
  <c r="G7" i="1"/>
  <c r="H5" i="7"/>
  <c r="F3" i="6"/>
  <c r="F3" i="4"/>
  <c r="F6" i="3"/>
  <c r="F4" i="2"/>
  <c r="G6" i="1"/>
  <c r="A110" i="1"/>
  <c r="D110" i="1"/>
  <c r="C110" i="1"/>
  <c r="E110" i="1"/>
  <c r="A56" i="2"/>
  <c r="D56" i="2"/>
  <c r="C56" i="2"/>
  <c r="C38" i="7"/>
  <c r="B38" i="7"/>
  <c r="A38" i="7"/>
  <c r="E38" i="7"/>
  <c r="D38" i="7"/>
  <c r="F38" i="7"/>
  <c r="A42" i="6"/>
  <c r="D42" i="6"/>
  <c r="C42" i="6"/>
  <c r="A53" i="4"/>
  <c r="D53" i="4"/>
  <c r="C53" i="4"/>
  <c r="B57" i="3"/>
  <c r="D57" i="3"/>
  <c r="C57" i="3"/>
  <c r="A37" i="9"/>
  <c r="B37" i="9"/>
  <c r="C37" i="9"/>
  <c r="D37" i="9"/>
  <c r="E37" i="9"/>
  <c r="F37" i="9"/>
  <c r="G37" i="9"/>
  <c r="H37" i="9"/>
  <c r="I37" i="9"/>
  <c r="J37" i="9"/>
  <c r="K37" i="9"/>
  <c r="L37" i="9"/>
  <c r="A109" i="1"/>
  <c r="D109" i="1"/>
  <c r="C109" i="1"/>
  <c r="E109" i="1"/>
  <c r="A55" i="2"/>
  <c r="D55" i="2"/>
  <c r="C55" i="2"/>
  <c r="C37" i="7"/>
  <c r="B37" i="7"/>
  <c r="E37" i="7"/>
  <c r="D37" i="7"/>
  <c r="F37" i="7"/>
  <c r="A37" i="7"/>
  <c r="D41" i="6"/>
  <c r="C41" i="6"/>
  <c r="D52" i="4"/>
  <c r="C52" i="4"/>
  <c r="D56" i="3"/>
  <c r="C56" i="3"/>
  <c r="D55" i="3"/>
  <c r="A41" i="6"/>
  <c r="A52" i="4"/>
  <c r="B56" i="3"/>
  <c r="L36" i="9"/>
  <c r="A36" i="9"/>
  <c r="B36" i="9"/>
  <c r="C36" i="9"/>
  <c r="D36" i="9"/>
  <c r="E36" i="9"/>
  <c r="F36" i="9"/>
  <c r="G36" i="9"/>
  <c r="H36" i="9"/>
  <c r="I36" i="9"/>
  <c r="J36" i="9"/>
  <c r="K36" i="9"/>
  <c r="C36" i="7"/>
  <c r="B36" i="7"/>
  <c r="A36" i="7"/>
  <c r="E36" i="7"/>
  <c r="D36" i="7"/>
  <c r="F36" i="7"/>
  <c r="A40" i="6"/>
  <c r="D40" i="6"/>
  <c r="C40" i="6"/>
  <c r="A51" i="4"/>
  <c r="D51" i="4"/>
  <c r="C51" i="4"/>
  <c r="A54" i="2"/>
  <c r="A108" i="1"/>
  <c r="D108" i="1"/>
  <c r="C108" i="1"/>
  <c r="E108" i="1"/>
  <c r="D54" i="2"/>
  <c r="C54" i="2"/>
  <c r="C55" i="3"/>
  <c r="B55" i="3"/>
  <c r="L35" i="9"/>
  <c r="B35" i="9"/>
  <c r="C35" i="9"/>
  <c r="D35" i="9"/>
  <c r="E35" i="9"/>
  <c r="F35" i="9"/>
  <c r="G35" i="9"/>
  <c r="H35" i="9"/>
  <c r="I35" i="9"/>
  <c r="J35" i="9"/>
  <c r="K35" i="9"/>
  <c r="C35" i="7"/>
  <c r="B35" i="7"/>
  <c r="A35" i="7"/>
  <c r="E35" i="7"/>
  <c r="D35" i="7"/>
  <c r="F35" i="7"/>
  <c r="A39" i="6"/>
  <c r="D39" i="6"/>
  <c r="C39" i="6"/>
  <c r="A50" i="4"/>
  <c r="D50" i="4"/>
  <c r="C50" i="4"/>
  <c r="A107" i="1"/>
  <c r="D107" i="1"/>
  <c r="C107" i="1"/>
  <c r="E107" i="1"/>
  <c r="A53" i="2"/>
  <c r="D53" i="2"/>
  <c r="C53" i="2"/>
  <c r="D54" i="3"/>
  <c r="C54" i="3"/>
  <c r="B54" i="3"/>
  <c r="A34" i="9"/>
  <c r="B34" i="9"/>
  <c r="C34" i="9"/>
  <c r="D34" i="9"/>
  <c r="E34" i="9"/>
  <c r="F34" i="9"/>
  <c r="G34" i="9"/>
  <c r="H34" i="9"/>
  <c r="I34" i="9"/>
  <c r="J34" i="9"/>
  <c r="K34" i="9"/>
  <c r="L34" i="9"/>
  <c r="C34" i="7"/>
  <c r="B34" i="7"/>
  <c r="A34" i="7"/>
  <c r="E34" i="7"/>
  <c r="D34" i="7"/>
  <c r="F34" i="7"/>
  <c r="A38" i="6"/>
  <c r="D38" i="6"/>
  <c r="C38" i="6"/>
  <c r="A49" i="4"/>
  <c r="D49" i="4"/>
  <c r="C49" i="4"/>
  <c r="A106" i="1"/>
  <c r="D106" i="1"/>
  <c r="C106" i="1"/>
  <c r="E106" i="1"/>
  <c r="A52" i="2"/>
  <c r="D52" i="2"/>
  <c r="C52" i="2"/>
  <c r="D53" i="3"/>
  <c r="C53" i="3"/>
  <c r="B53" i="3"/>
  <c r="L33" i="9"/>
  <c r="A33" i="9"/>
  <c r="B33" i="9"/>
  <c r="C33" i="9"/>
  <c r="D33" i="9"/>
  <c r="E33" i="9"/>
  <c r="F33" i="9"/>
  <c r="G33" i="9"/>
  <c r="H33" i="9"/>
  <c r="I33" i="9"/>
  <c r="J33" i="9"/>
  <c r="K33" i="9"/>
  <c r="A105" i="1"/>
  <c r="D105" i="1"/>
  <c r="C105" i="1"/>
  <c r="E105" i="1"/>
  <c r="A51" i="2"/>
  <c r="D51" i="2"/>
  <c r="C51" i="2"/>
  <c r="C33" i="7"/>
  <c r="B33" i="7"/>
  <c r="A33" i="7"/>
  <c r="E33" i="7"/>
  <c r="D33" i="7"/>
  <c r="F33" i="7"/>
  <c r="A37" i="6"/>
  <c r="D37" i="6"/>
  <c r="C37" i="6"/>
  <c r="A48" i="4"/>
  <c r="D48" i="4"/>
  <c r="C48" i="4"/>
  <c r="D52" i="3"/>
  <c r="C52" i="3"/>
  <c r="B52" i="3"/>
  <c r="L32" i="9"/>
  <c r="A32" i="9"/>
  <c r="B32" i="9"/>
  <c r="C32" i="9"/>
  <c r="D32" i="9"/>
  <c r="E32" i="9"/>
  <c r="F32" i="9"/>
  <c r="G32" i="9"/>
  <c r="H32" i="9"/>
  <c r="I32" i="9"/>
  <c r="J32" i="9"/>
  <c r="K32" i="9"/>
  <c r="A104" i="1"/>
  <c r="D104" i="1"/>
  <c r="C104" i="1"/>
  <c r="E104" i="1"/>
  <c r="A50" i="2"/>
  <c r="D50" i="2"/>
  <c r="C50" i="2"/>
  <c r="C32" i="7"/>
  <c r="B32" i="7"/>
  <c r="A32" i="7"/>
  <c r="E32" i="7"/>
  <c r="D32" i="7"/>
  <c r="F32" i="7"/>
  <c r="A36" i="6"/>
  <c r="D36" i="6"/>
  <c r="C36" i="6"/>
  <c r="A47" i="4"/>
  <c r="D47" i="4"/>
  <c r="C47" i="4"/>
  <c r="D51" i="3"/>
  <c r="C51" i="3"/>
  <c r="B51" i="3"/>
  <c r="D50" i="3"/>
  <c r="L31" i="9"/>
  <c r="A31" i="9"/>
  <c r="B31" i="9"/>
  <c r="C31" i="9"/>
  <c r="D31" i="9"/>
  <c r="E31" i="9"/>
  <c r="F31" i="9"/>
  <c r="G31" i="9"/>
  <c r="H31" i="9"/>
  <c r="I31" i="9"/>
  <c r="J31" i="9"/>
  <c r="K31" i="9"/>
  <c r="C31" i="7"/>
  <c r="B31" i="7"/>
  <c r="A31" i="7"/>
  <c r="E31" i="7"/>
  <c r="D31" i="7"/>
  <c r="F31" i="7"/>
  <c r="A35" i="6"/>
  <c r="D35" i="6"/>
  <c r="C35" i="6"/>
  <c r="A46" i="4"/>
  <c r="D46" i="4"/>
  <c r="C46" i="4"/>
  <c r="A103" i="1"/>
  <c r="D103" i="1"/>
  <c r="C103" i="1"/>
  <c r="E103" i="1"/>
  <c r="B50" i="3"/>
  <c r="A49" i="2"/>
  <c r="D49" i="2"/>
  <c r="C49" i="2"/>
  <c r="C50" i="3"/>
  <c r="L30" i="9"/>
  <c r="A30" i="9"/>
  <c r="B30" i="9"/>
  <c r="C30" i="9"/>
  <c r="D30" i="9"/>
  <c r="E30" i="9"/>
  <c r="F30" i="9"/>
  <c r="G30" i="9"/>
  <c r="H30" i="9"/>
  <c r="I30" i="9"/>
  <c r="J30" i="9"/>
  <c r="K30" i="9"/>
  <c r="A102" i="1"/>
  <c r="D102" i="1"/>
  <c r="C102" i="1"/>
  <c r="E102" i="1"/>
  <c r="A48" i="2"/>
  <c r="D48" i="2"/>
  <c r="C48" i="2"/>
  <c r="C30" i="7"/>
  <c r="B30" i="7"/>
  <c r="A30" i="7"/>
  <c r="E30" i="7"/>
  <c r="D30" i="7"/>
  <c r="F30" i="7"/>
  <c r="A34" i="6"/>
  <c r="D34" i="6"/>
  <c r="C34" i="6"/>
  <c r="A45" i="4"/>
  <c r="D45" i="4"/>
  <c r="C45" i="4"/>
  <c r="D49" i="3"/>
  <c r="C49" i="3"/>
  <c r="B49" i="3"/>
  <c r="B48" i="3"/>
  <c r="D29" i="9"/>
  <c r="B29" i="9"/>
  <c r="C29" i="9"/>
  <c r="E29" i="9"/>
  <c r="F29" i="9"/>
  <c r="G29" i="9"/>
  <c r="H29" i="9"/>
  <c r="B28" i="9"/>
  <c r="C28" i="9"/>
  <c r="D28" i="9"/>
  <c r="E28" i="9"/>
  <c r="F28" i="9"/>
  <c r="G28" i="9"/>
  <c r="H28" i="9"/>
  <c r="J29" i="9"/>
  <c r="B27" i="9"/>
  <c r="C27" i="9"/>
  <c r="D27" i="9"/>
  <c r="E27" i="9"/>
  <c r="F27" i="9"/>
  <c r="G27" i="9"/>
  <c r="H27" i="9"/>
  <c r="J28" i="9"/>
  <c r="B26" i="9"/>
  <c r="C26" i="9"/>
  <c r="D26" i="9"/>
  <c r="E26" i="9"/>
  <c r="F26" i="9"/>
  <c r="G26" i="9"/>
  <c r="H26" i="9"/>
  <c r="J27" i="9"/>
  <c r="B25" i="9"/>
  <c r="C25" i="9"/>
  <c r="D25" i="9"/>
  <c r="E25" i="9"/>
  <c r="F25" i="9"/>
  <c r="G25" i="9"/>
  <c r="H25" i="9"/>
  <c r="J26" i="9"/>
  <c r="B24" i="9"/>
  <c r="C24" i="9"/>
  <c r="D24" i="9"/>
  <c r="E24" i="9"/>
  <c r="F24" i="9"/>
  <c r="G24" i="9"/>
  <c r="H24" i="9"/>
  <c r="J25" i="9"/>
  <c r="B23" i="9"/>
  <c r="C23" i="9"/>
  <c r="D23" i="9"/>
  <c r="E23" i="9"/>
  <c r="F23" i="9"/>
  <c r="G23" i="9"/>
  <c r="H23" i="9"/>
  <c r="J24" i="9"/>
  <c r="B22" i="9"/>
  <c r="C22" i="9"/>
  <c r="D22" i="9"/>
  <c r="E22" i="9"/>
  <c r="F22" i="9"/>
  <c r="G22" i="9"/>
  <c r="H22" i="9"/>
  <c r="J23" i="9"/>
  <c r="B21" i="9"/>
  <c r="C21" i="9"/>
  <c r="D21" i="9"/>
  <c r="E21" i="9"/>
  <c r="F21" i="9"/>
  <c r="G21" i="9"/>
  <c r="H21" i="9"/>
  <c r="J22" i="9"/>
  <c r="B20" i="9"/>
  <c r="C20" i="9"/>
  <c r="D20" i="9"/>
  <c r="E20" i="9"/>
  <c r="F20" i="9"/>
  <c r="G20" i="9"/>
  <c r="H20" i="9"/>
  <c r="J21" i="9"/>
  <c r="B19" i="9"/>
  <c r="C19" i="9"/>
  <c r="D19" i="9"/>
  <c r="E19" i="9"/>
  <c r="F19" i="9"/>
  <c r="G19" i="9"/>
  <c r="H19" i="9"/>
  <c r="J20" i="9"/>
  <c r="B18" i="9"/>
  <c r="C18" i="9"/>
  <c r="D18" i="9"/>
  <c r="E18" i="9"/>
  <c r="F18" i="9"/>
  <c r="G18" i="9"/>
  <c r="H18" i="9"/>
  <c r="J19" i="9"/>
  <c r="B17" i="9"/>
  <c r="C17" i="9"/>
  <c r="D17" i="9"/>
  <c r="E17" i="9"/>
  <c r="F17" i="9"/>
  <c r="G17" i="9"/>
  <c r="H17" i="9"/>
  <c r="J18" i="9"/>
  <c r="B16" i="9"/>
  <c r="C16" i="9"/>
  <c r="D16" i="9"/>
  <c r="E16" i="9"/>
  <c r="F16" i="9"/>
  <c r="G16" i="9"/>
  <c r="H16" i="9"/>
  <c r="J17" i="9"/>
  <c r="B15" i="9"/>
  <c r="C15" i="9"/>
  <c r="D15" i="9"/>
  <c r="E15" i="9"/>
  <c r="F15" i="9"/>
  <c r="G15" i="9"/>
  <c r="H15" i="9"/>
  <c r="J16" i="9"/>
  <c r="B14" i="9"/>
  <c r="C14" i="9"/>
  <c r="D14" i="9"/>
  <c r="E14" i="9"/>
  <c r="F14" i="9"/>
  <c r="G14" i="9"/>
  <c r="H14" i="9"/>
  <c r="J15" i="9"/>
  <c r="B13" i="9"/>
  <c r="C13" i="9"/>
  <c r="D13" i="9"/>
  <c r="E13" i="9"/>
  <c r="F13" i="9"/>
  <c r="G13" i="9"/>
  <c r="H13" i="9"/>
  <c r="J14" i="9"/>
  <c r="B12" i="9"/>
  <c r="C12" i="9"/>
  <c r="D12" i="9"/>
  <c r="E12" i="9"/>
  <c r="F12" i="9"/>
  <c r="G12" i="9"/>
  <c r="H12" i="9"/>
  <c r="J13" i="9"/>
  <c r="B11" i="9"/>
  <c r="C11" i="9"/>
  <c r="D11" i="9"/>
  <c r="E11" i="9"/>
  <c r="F11" i="9"/>
  <c r="G11" i="9"/>
  <c r="H11" i="9"/>
  <c r="J12" i="9"/>
  <c r="B10" i="9"/>
  <c r="C10" i="9"/>
  <c r="D10" i="9"/>
  <c r="E10" i="9"/>
  <c r="F10" i="9"/>
  <c r="G10" i="9"/>
  <c r="H10" i="9"/>
  <c r="J11" i="9"/>
  <c r="B9" i="9"/>
  <c r="C9" i="9"/>
  <c r="D9" i="9"/>
  <c r="E9" i="9"/>
  <c r="F9" i="9"/>
  <c r="G9" i="9"/>
  <c r="H9" i="9"/>
  <c r="J10" i="9"/>
  <c r="B8" i="9"/>
  <c r="C8" i="9"/>
  <c r="D8" i="9"/>
  <c r="E8" i="9"/>
  <c r="F8" i="9"/>
  <c r="G8" i="9"/>
  <c r="H8" i="9"/>
  <c r="J9" i="9"/>
  <c r="B7" i="9"/>
  <c r="C7" i="9"/>
  <c r="D7" i="9"/>
  <c r="E7" i="9"/>
  <c r="F7" i="9"/>
  <c r="G7" i="9"/>
  <c r="H7" i="9"/>
  <c r="J8" i="9"/>
  <c r="B6" i="9"/>
  <c r="C6" i="9"/>
  <c r="D6" i="9"/>
  <c r="E6" i="9"/>
  <c r="F6" i="9"/>
  <c r="G6" i="9"/>
  <c r="H6" i="9"/>
  <c r="J7" i="9"/>
  <c r="B5" i="9"/>
  <c r="C5" i="9"/>
  <c r="D5" i="9"/>
  <c r="E5" i="9"/>
  <c r="F5" i="9"/>
  <c r="G5" i="9"/>
  <c r="H5" i="9"/>
  <c r="J6" i="9"/>
  <c r="B4" i="9"/>
  <c r="C4" i="9"/>
  <c r="D4" i="9"/>
  <c r="E4" i="9"/>
  <c r="F4" i="9"/>
  <c r="G4" i="9"/>
  <c r="H4" i="9"/>
  <c r="J5" i="9"/>
  <c r="B3" i="9"/>
  <c r="C3" i="9"/>
  <c r="D3" i="9"/>
  <c r="E3" i="9"/>
  <c r="F3" i="9"/>
  <c r="G3" i="9"/>
  <c r="H3" i="9"/>
  <c r="J4" i="9"/>
  <c r="B2" i="9"/>
  <c r="C2" i="9"/>
  <c r="D2" i="9"/>
  <c r="E2" i="9"/>
  <c r="F2" i="9"/>
  <c r="G2" i="9"/>
  <c r="H2" i="9"/>
  <c r="J3" i="9"/>
  <c r="K3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A29" i="9"/>
  <c r="A7" i="9"/>
  <c r="L29" i="9"/>
  <c r="A28" i="9"/>
  <c r="A6" i="9"/>
  <c r="L28" i="9"/>
  <c r="A26" i="9"/>
  <c r="A3" i="9"/>
  <c r="L26" i="9"/>
  <c r="A27" i="9"/>
  <c r="A4" i="9"/>
  <c r="L27" i="9"/>
  <c r="A25" i="9"/>
  <c r="A2" i="9"/>
  <c r="L25" i="9"/>
  <c r="I29" i="9"/>
  <c r="A101" i="1"/>
  <c r="D101" i="1"/>
  <c r="C101" i="1"/>
  <c r="E101" i="1"/>
  <c r="A47" i="2"/>
  <c r="D47" i="2"/>
  <c r="C47" i="2"/>
  <c r="C29" i="7"/>
  <c r="B29" i="7"/>
  <c r="A29" i="7"/>
  <c r="E29" i="7"/>
  <c r="D29" i="7"/>
  <c r="F29" i="7"/>
  <c r="A33" i="6"/>
  <c r="D33" i="6"/>
  <c r="C33" i="6"/>
  <c r="D44" i="4"/>
  <c r="C44" i="4"/>
  <c r="A44" i="4"/>
  <c r="D48" i="3"/>
  <c r="C48" i="3"/>
  <c r="I28" i="9"/>
  <c r="A100" i="1"/>
  <c r="D100" i="1"/>
  <c r="C100" i="1"/>
  <c r="E100" i="1"/>
  <c r="A46" i="2"/>
  <c r="D46" i="2"/>
  <c r="C46" i="2"/>
  <c r="C28" i="7"/>
  <c r="B28" i="7"/>
  <c r="A28" i="7"/>
  <c r="E28" i="7"/>
  <c r="D28" i="7"/>
  <c r="F28" i="7"/>
  <c r="B47" i="3"/>
  <c r="A32" i="6"/>
  <c r="D32" i="6"/>
  <c r="C32" i="6"/>
  <c r="A43" i="4"/>
  <c r="D43" i="4"/>
  <c r="C43" i="4"/>
  <c r="D47" i="3"/>
  <c r="C47" i="3"/>
  <c r="I27" i="9"/>
  <c r="H4" i="7"/>
  <c r="F2" i="6"/>
  <c r="F2" i="4"/>
  <c r="F5" i="3"/>
  <c r="F3" i="2"/>
  <c r="G5" i="1"/>
  <c r="A99" i="1"/>
  <c r="D99" i="1"/>
  <c r="C99" i="1"/>
  <c r="E99" i="1"/>
  <c r="A45" i="2"/>
  <c r="D45" i="2"/>
  <c r="C45" i="2"/>
  <c r="C27" i="7"/>
  <c r="B27" i="7"/>
  <c r="A27" i="7"/>
  <c r="E27" i="7"/>
  <c r="D27" i="7"/>
  <c r="F27" i="7"/>
  <c r="A31" i="6"/>
  <c r="D31" i="6"/>
  <c r="C31" i="6"/>
  <c r="A42" i="4"/>
  <c r="D42" i="4"/>
  <c r="C42" i="4"/>
  <c r="B46" i="3"/>
  <c r="D46" i="3"/>
  <c r="C46" i="3"/>
  <c r="I26" i="9"/>
  <c r="A98" i="1"/>
  <c r="D98" i="1"/>
  <c r="C98" i="1"/>
  <c r="E98" i="1"/>
  <c r="A44" i="2"/>
  <c r="D44" i="2"/>
  <c r="C44" i="2"/>
  <c r="C26" i="7"/>
  <c r="B26" i="7"/>
  <c r="A26" i="7"/>
  <c r="E26" i="7"/>
  <c r="D26" i="7"/>
  <c r="F26" i="7"/>
  <c r="A30" i="6"/>
  <c r="D30" i="6"/>
  <c r="C30" i="6"/>
  <c r="D41" i="4"/>
  <c r="C41" i="4"/>
  <c r="A41" i="4"/>
  <c r="B45" i="3"/>
  <c r="C45" i="3"/>
  <c r="D45" i="3"/>
  <c r="A24" i="9"/>
  <c r="I25" i="9"/>
  <c r="C25" i="7"/>
  <c r="B25" i="7"/>
  <c r="A25" i="7"/>
  <c r="E25" i="7"/>
  <c r="D25" i="7"/>
  <c r="F25" i="7"/>
  <c r="A29" i="6"/>
  <c r="D29" i="6"/>
  <c r="C29" i="6"/>
  <c r="A40" i="4"/>
  <c r="D40" i="4"/>
  <c r="C40" i="4"/>
  <c r="A43" i="2"/>
  <c r="D43" i="2"/>
  <c r="C43" i="2"/>
  <c r="A97" i="1"/>
  <c r="D97" i="1"/>
  <c r="C97" i="1"/>
  <c r="E97" i="1"/>
  <c r="D44" i="3"/>
  <c r="C44" i="3"/>
  <c r="B44" i="3"/>
  <c r="A23" i="9"/>
  <c r="I24" i="9"/>
  <c r="D96" i="1"/>
  <c r="C96" i="1"/>
  <c r="E96" i="1"/>
  <c r="A96" i="1"/>
  <c r="D42" i="2"/>
  <c r="C42" i="2"/>
  <c r="A42" i="2"/>
  <c r="B24" i="7"/>
  <c r="D24" i="7"/>
  <c r="C24" i="7"/>
  <c r="E24" i="7"/>
  <c r="A24" i="7"/>
  <c r="C28" i="6"/>
  <c r="D28" i="6"/>
  <c r="A28" i="6"/>
  <c r="C39" i="4"/>
  <c r="A39" i="4"/>
  <c r="D39" i="4"/>
  <c r="D43" i="3"/>
  <c r="C43" i="3"/>
  <c r="B43" i="3"/>
  <c r="B42" i="3"/>
  <c r="A22" i="9"/>
  <c r="I23" i="9"/>
  <c r="E23" i="7"/>
  <c r="D23" i="7"/>
  <c r="D27" i="6"/>
  <c r="C27" i="6"/>
  <c r="D38" i="4"/>
  <c r="C38" i="4"/>
  <c r="D41" i="2"/>
  <c r="C41" i="2"/>
  <c r="D95" i="1"/>
  <c r="C95" i="1"/>
  <c r="E95" i="1"/>
  <c r="D42" i="3"/>
  <c r="C42" i="3"/>
  <c r="C23" i="7"/>
  <c r="B23" i="7"/>
  <c r="A21" i="9"/>
  <c r="I22" i="9"/>
  <c r="D22" i="7"/>
  <c r="C22" i="7"/>
  <c r="B22" i="7"/>
  <c r="E22" i="7"/>
  <c r="C26" i="6"/>
  <c r="D26" i="6"/>
  <c r="C37" i="4"/>
  <c r="D37" i="4"/>
  <c r="C94" i="1"/>
  <c r="D94" i="1"/>
  <c r="E94" i="1"/>
  <c r="C40" i="2"/>
  <c r="D40" i="2"/>
  <c r="C41" i="3"/>
  <c r="D41" i="3"/>
  <c r="A20" i="9"/>
  <c r="I21" i="9"/>
  <c r="D93" i="1"/>
  <c r="C93" i="1"/>
  <c r="E93" i="1"/>
  <c r="D39" i="2"/>
  <c r="C39" i="2"/>
  <c r="E20" i="7"/>
  <c r="D20" i="7"/>
  <c r="E21" i="7"/>
  <c r="D21" i="7"/>
  <c r="C21" i="7"/>
  <c r="B21" i="7"/>
  <c r="D25" i="6"/>
  <c r="C25" i="6"/>
  <c r="D36" i="4"/>
  <c r="C36" i="4"/>
  <c r="D40" i="3"/>
  <c r="C40" i="3"/>
  <c r="D39" i="3"/>
  <c r="A19" i="9"/>
  <c r="I20" i="9"/>
  <c r="D38" i="2"/>
  <c r="C38" i="2"/>
  <c r="D92" i="1"/>
  <c r="C92" i="1"/>
  <c r="E92" i="1"/>
  <c r="D24" i="6"/>
  <c r="C24" i="6"/>
  <c r="D35" i="4"/>
  <c r="C35" i="4"/>
  <c r="C39" i="3"/>
  <c r="C20" i="7"/>
  <c r="B20" i="7"/>
  <c r="A18" i="9"/>
  <c r="I19" i="9"/>
  <c r="D37" i="2"/>
  <c r="C37" i="2"/>
  <c r="D91" i="1"/>
  <c r="C91" i="1"/>
  <c r="E91" i="1"/>
  <c r="E19" i="7"/>
  <c r="D19" i="7"/>
  <c r="D23" i="6"/>
  <c r="C23" i="6"/>
  <c r="D34" i="4"/>
  <c r="C34" i="4"/>
  <c r="D38" i="3"/>
  <c r="C38" i="3"/>
  <c r="C19" i="7"/>
  <c r="B19" i="7"/>
  <c r="A17" i="9"/>
  <c r="I18" i="9"/>
  <c r="D36" i="2"/>
  <c r="C36" i="2"/>
  <c r="D90" i="1"/>
  <c r="C90" i="1"/>
  <c r="E90" i="1"/>
  <c r="C18" i="7"/>
  <c r="B18" i="7"/>
  <c r="E18" i="7"/>
  <c r="D18" i="7"/>
  <c r="F18" i="7"/>
  <c r="D22" i="6"/>
  <c r="C22" i="6"/>
  <c r="D33" i="4"/>
  <c r="C33" i="4"/>
  <c r="D37" i="3"/>
  <c r="C37" i="3"/>
  <c r="A16" i="9"/>
  <c r="I17" i="9"/>
  <c r="E17" i="7"/>
  <c r="D17" i="7"/>
  <c r="C17" i="7"/>
  <c r="B17" i="7"/>
  <c r="D21" i="6"/>
  <c r="C21" i="6"/>
  <c r="D32" i="4"/>
  <c r="C32" i="4"/>
  <c r="D35" i="2"/>
  <c r="C35" i="2"/>
  <c r="D89" i="1"/>
  <c r="C89" i="1"/>
  <c r="E89" i="1"/>
  <c r="C36" i="3"/>
  <c r="D36" i="3"/>
  <c r="A15" i="9"/>
  <c r="I16" i="9"/>
  <c r="D88" i="1"/>
  <c r="C88" i="1"/>
  <c r="E88" i="1"/>
  <c r="D34" i="2"/>
  <c r="C34" i="2"/>
  <c r="E16" i="7"/>
  <c r="D16" i="7"/>
  <c r="C16" i="7"/>
  <c r="B16" i="7"/>
  <c r="D20" i="6"/>
  <c r="C20" i="6"/>
  <c r="C31" i="4"/>
  <c r="D31" i="4"/>
  <c r="C35" i="3"/>
  <c r="D35" i="3"/>
  <c r="A14" i="9"/>
  <c r="I15" i="9"/>
  <c r="E15" i="7"/>
  <c r="D15" i="7"/>
  <c r="C15" i="7"/>
  <c r="B15" i="7"/>
  <c r="D19" i="6"/>
  <c r="C19" i="6"/>
  <c r="C30" i="4"/>
  <c r="D33" i="2"/>
  <c r="C33" i="2"/>
  <c r="D87" i="1"/>
  <c r="C87" i="1"/>
  <c r="E87" i="1"/>
  <c r="C34" i="3"/>
  <c r="D34" i="3"/>
  <c r="D30" i="4"/>
  <c r="M2" i="2"/>
  <c r="M2" i="3"/>
  <c r="M2" i="6"/>
  <c r="N2" i="7"/>
  <c r="N1" i="9"/>
  <c r="B14" i="7"/>
  <c r="C14" i="7"/>
  <c r="F14" i="7"/>
  <c r="D33" i="3"/>
  <c r="D32" i="2"/>
  <c r="D32" i="3"/>
  <c r="D31" i="2"/>
  <c r="D31" i="3"/>
  <c r="D30" i="2"/>
  <c r="D30" i="3"/>
  <c r="D29" i="2"/>
  <c r="D29" i="3"/>
  <c r="D28" i="2"/>
  <c r="D28" i="3"/>
  <c r="D27" i="2"/>
  <c r="D27" i="3"/>
  <c r="D26" i="2"/>
  <c r="D26" i="3"/>
  <c r="D25" i="2"/>
  <c r="D25" i="3"/>
  <c r="D24" i="2"/>
  <c r="D24" i="3"/>
  <c r="D23" i="2"/>
  <c r="D23" i="3"/>
  <c r="D22" i="2"/>
  <c r="D22" i="3"/>
  <c r="D21" i="2"/>
  <c r="D21" i="3"/>
  <c r="D20" i="2"/>
  <c r="D20" i="3"/>
  <c r="D19" i="2"/>
  <c r="D19" i="3"/>
  <c r="D18" i="2"/>
  <c r="D18" i="3"/>
  <c r="D17" i="2"/>
  <c r="D17" i="3"/>
  <c r="D16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16" i="3"/>
  <c r="D69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E86" i="1"/>
  <c r="C13" i="7"/>
  <c r="E14" i="7"/>
  <c r="C12" i="7"/>
  <c r="E13" i="7"/>
  <c r="C11" i="7"/>
  <c r="E12" i="7"/>
  <c r="C10" i="7"/>
  <c r="E11" i="7"/>
  <c r="C9" i="7"/>
  <c r="E10" i="7"/>
  <c r="C8" i="7"/>
  <c r="E9" i="7"/>
  <c r="C7" i="7"/>
  <c r="E8" i="7"/>
  <c r="C6" i="7"/>
  <c r="E7" i="7"/>
  <c r="C5" i="7"/>
  <c r="E6" i="7"/>
  <c r="C4" i="7"/>
  <c r="E5" i="7"/>
  <c r="C3" i="7"/>
  <c r="E4" i="7"/>
  <c r="E3" i="7"/>
  <c r="D3" i="7"/>
  <c r="D4" i="7"/>
  <c r="D5" i="7"/>
  <c r="D6" i="7"/>
  <c r="D7" i="7"/>
  <c r="D8" i="7"/>
  <c r="D9" i="7"/>
  <c r="D10" i="7"/>
  <c r="D11" i="7"/>
  <c r="D12" i="7"/>
  <c r="D13" i="7"/>
  <c r="D14" i="7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B8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B13" i="7"/>
  <c r="F13" i="7"/>
  <c r="B12" i="7"/>
  <c r="F12" i="7"/>
  <c r="B11" i="7"/>
  <c r="F11" i="7"/>
  <c r="B10" i="7"/>
  <c r="F10" i="7"/>
  <c r="B9" i="7"/>
  <c r="F9" i="7"/>
  <c r="B8" i="7"/>
  <c r="F8" i="7"/>
  <c r="B7" i="7"/>
  <c r="F7" i="7"/>
  <c r="B6" i="7"/>
  <c r="F6" i="7"/>
  <c r="B5" i="7"/>
  <c r="F5" i="7"/>
  <c r="B4" i="7"/>
  <c r="F4" i="7"/>
  <c r="B3" i="7"/>
  <c r="F3" i="7"/>
  <c r="F2" i="7"/>
  <c r="A13" i="9"/>
  <c r="I14" i="9"/>
  <c r="F4" i="3"/>
  <c r="G4" i="1"/>
  <c r="F2" i="2"/>
  <c r="E85" i="1"/>
  <c r="A12" i="9"/>
  <c r="I13" i="9"/>
  <c r="I4" i="9"/>
  <c r="A5" i="9"/>
  <c r="I5" i="9"/>
  <c r="I6" i="9"/>
  <c r="I7" i="9"/>
  <c r="A8" i="9"/>
  <c r="I8" i="9"/>
  <c r="A9" i="9"/>
  <c r="I9" i="9"/>
  <c r="A10" i="9"/>
  <c r="I10" i="9"/>
  <c r="A11" i="9"/>
  <c r="I11" i="9"/>
  <c r="I12" i="9"/>
  <c r="I3" i="9"/>
  <c r="E84" i="1"/>
  <c r="E83" i="1"/>
  <c r="E82" i="1"/>
  <c r="E69" i="1"/>
  <c r="E71" i="1"/>
  <c r="G1" i="3"/>
  <c r="G2" i="3"/>
  <c r="H2" i="3"/>
  <c r="H1" i="3"/>
  <c r="E81" i="1"/>
  <c r="E78" i="1"/>
  <c r="E77" i="1"/>
  <c r="F15" i="7"/>
  <c r="F16" i="7"/>
  <c r="F17" i="7"/>
  <c r="F19" i="7"/>
  <c r="F20" i="7"/>
  <c r="F21" i="7"/>
  <c r="F22" i="7"/>
  <c r="F23" i="7"/>
  <c r="F24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E76" i="1"/>
  <c r="E75" i="1"/>
  <c r="E67" i="8"/>
  <c r="G67" i="8"/>
  <c r="E68" i="8"/>
  <c r="G68" i="8"/>
  <c r="E69" i="8"/>
  <c r="G69" i="8"/>
  <c r="E70" i="8"/>
  <c r="G70" i="8"/>
  <c r="E71" i="8"/>
  <c r="G71" i="8"/>
  <c r="E72" i="8"/>
  <c r="G72" i="8"/>
  <c r="E73" i="8"/>
  <c r="G73" i="8"/>
  <c r="E74" i="8"/>
  <c r="G74" i="8"/>
  <c r="E75" i="8"/>
  <c r="G75" i="8"/>
  <c r="K67" i="8"/>
  <c r="F67" i="8"/>
  <c r="H67" i="8"/>
  <c r="F68" i="8"/>
  <c r="H68" i="8"/>
  <c r="F69" i="8"/>
  <c r="H69" i="8"/>
  <c r="F70" i="8"/>
  <c r="H70" i="8"/>
  <c r="F71" i="8"/>
  <c r="H71" i="8"/>
  <c r="F72" i="8"/>
  <c r="H72" i="8"/>
  <c r="F73" i="8"/>
  <c r="H73" i="8"/>
  <c r="F74" i="8"/>
  <c r="H74" i="8"/>
  <c r="F75" i="8"/>
  <c r="H75" i="8"/>
  <c r="K68" i="8"/>
  <c r="E57" i="8"/>
  <c r="G57" i="8"/>
  <c r="E58" i="8"/>
  <c r="G58" i="8"/>
  <c r="E59" i="8"/>
  <c r="G59" i="8"/>
  <c r="E60" i="8"/>
  <c r="G60" i="8"/>
  <c r="E61" i="8"/>
  <c r="G61" i="8"/>
  <c r="E62" i="8"/>
  <c r="G62" i="8"/>
  <c r="E63" i="8"/>
  <c r="G63" i="8"/>
  <c r="E64" i="8"/>
  <c r="G64" i="8"/>
  <c r="E65" i="8"/>
  <c r="G65" i="8"/>
  <c r="E66" i="8"/>
  <c r="G66" i="8"/>
  <c r="K57" i="8"/>
  <c r="F57" i="8"/>
  <c r="H57" i="8"/>
  <c r="F58" i="8"/>
  <c r="H58" i="8"/>
  <c r="F59" i="8"/>
  <c r="H59" i="8"/>
  <c r="F60" i="8"/>
  <c r="H60" i="8"/>
  <c r="F61" i="8"/>
  <c r="H61" i="8"/>
  <c r="F62" i="8"/>
  <c r="H62" i="8"/>
  <c r="F63" i="8"/>
  <c r="H63" i="8"/>
  <c r="F64" i="8"/>
  <c r="H64" i="8"/>
  <c r="F65" i="8"/>
  <c r="H65" i="8"/>
  <c r="F66" i="8"/>
  <c r="H66" i="8"/>
  <c r="K58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4" i="8"/>
  <c r="L26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4" i="8"/>
  <c r="L25" i="8"/>
  <c r="K2" i="7"/>
  <c r="K5" i="7"/>
  <c r="G3" i="1"/>
  <c r="G2" i="1"/>
  <c r="E73" i="1"/>
  <c r="J5" i="6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3" i="1"/>
  <c r="E70" i="1"/>
  <c r="J2" i="4"/>
  <c r="J5" i="4"/>
  <c r="K5" i="4"/>
  <c r="J2" i="3"/>
  <c r="J4" i="3"/>
  <c r="J5" i="3"/>
  <c r="K5" i="3"/>
  <c r="J2" i="2"/>
  <c r="J4" i="2"/>
  <c r="J5" i="2"/>
  <c r="K5" i="2"/>
  <c r="J3" i="1"/>
  <c r="J5" i="1"/>
  <c r="K5" i="1"/>
  <c r="E74" i="1"/>
  <c r="E80" i="1"/>
  <c r="E72" i="1"/>
  <c r="E79" i="1"/>
  <c r="L5" i="7"/>
  <c r="J7" i="2"/>
  <c r="N7" i="2"/>
  <c r="N8" i="2"/>
  <c r="K5" i="6"/>
  <c r="J7" i="3"/>
  <c r="N7" i="3"/>
  <c r="N8" i="3"/>
  <c r="K7" i="7"/>
  <c r="O7" i="7"/>
  <c r="O8" i="7"/>
  <c r="J7" i="1"/>
  <c r="N7" i="1"/>
  <c r="N8" i="1"/>
  <c r="J7" i="6"/>
  <c r="N7" i="6"/>
  <c r="N8" i="6"/>
  <c r="J7" i="4"/>
  <c r="N7" i="4"/>
  <c r="N8" i="4"/>
</calcChain>
</file>

<file path=xl/comments1.xml><?xml version="1.0" encoding="utf-8"?>
<comments xmlns="http://schemas.openxmlformats.org/spreadsheetml/2006/main">
  <authors>
    <author>mvdsteen</author>
  </authors>
  <commentList>
    <comment ref="F2" authorId="0">
      <text>
        <r>
          <rPr>
            <b/>
            <sz val="9"/>
            <color indexed="81"/>
            <rFont val="Tahoma"/>
            <family val="2"/>
          </rPr>
          <t>mvdsteen:</t>
        </r>
        <r>
          <rPr>
            <sz val="9"/>
            <color indexed="81"/>
            <rFont val="Tahoma"/>
            <family val="2"/>
          </rPr>
          <t xml:space="preserve">
9 maart - 9 maart</t>
        </r>
      </text>
    </comment>
  </commentList>
</comments>
</file>

<file path=xl/comments2.xml><?xml version="1.0" encoding="utf-8"?>
<comments xmlns="http://schemas.openxmlformats.org/spreadsheetml/2006/main">
  <authors>
    <author>Marcel van der Steen</author>
  </authors>
  <commentList>
    <comment ref="B42" authorId="0">
      <text>
        <r>
          <rPr>
            <b/>
            <sz val="9"/>
            <color indexed="81"/>
            <rFont val="Calibri"/>
            <family val="2"/>
          </rPr>
          <t>Marcel van der Steen:</t>
        </r>
        <r>
          <rPr>
            <sz val="9"/>
            <color indexed="81"/>
            <rFont val="Calibri"/>
            <family val="2"/>
          </rPr>
          <t xml:space="preserve">
Hallo Marcel
Opbrengsten
4 feb 0,6
5 feb 0,8
6 feb 1,1
8 feb 2,4
9 feb 0,2
11 feb 4,7
13 feb 1,7
18 feb 3,7
tussenliggende dagen 0,0
Groetjes
Jan de Bie
dBCOM</t>
        </r>
      </text>
    </comment>
  </commentList>
</comments>
</file>

<file path=xl/comments3.xml><?xml version="1.0" encoding="utf-8"?>
<comments xmlns="http://schemas.openxmlformats.org/spreadsheetml/2006/main">
  <authors>
    <author>Marcel van der Steen</author>
  </authors>
  <commentList>
    <comment ref="B54" authorId="0">
      <text>
        <r>
          <rPr>
            <b/>
            <sz val="9"/>
            <color indexed="81"/>
            <rFont val="Calibri"/>
            <family val="2"/>
          </rPr>
          <t>Marcel van der Steen:</t>
        </r>
        <r>
          <rPr>
            <sz val="9"/>
            <color indexed="81"/>
            <rFont val="Calibri"/>
            <family val="2"/>
          </rPr>
          <t xml:space="preserve">
geschat, want vergeten op te vragen op 1 april </t>
        </r>
      </text>
    </comment>
  </commentList>
</comments>
</file>

<file path=xl/comments4.xml><?xml version="1.0" encoding="utf-8"?>
<comments xmlns="http://schemas.openxmlformats.org/spreadsheetml/2006/main">
  <authors>
    <author>mvdsteen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mvdsteen:</t>
        </r>
        <r>
          <rPr>
            <sz val="9"/>
            <color indexed="81"/>
            <rFont val="Tahoma"/>
            <family val="2"/>
          </rPr>
          <t xml:space="preserve">
meest linkse mastervolt in garage. Is verbonden met 5x125 en 3x190</t>
        </r>
      </text>
    </comment>
    <comment ref="C1" authorId="0">
      <text>
        <r>
          <rPr>
            <b/>
            <sz val="9"/>
            <color indexed="81"/>
            <rFont val="Tahoma"/>
            <family val="2"/>
          </rPr>
          <t>mvdsteen:</t>
        </r>
        <r>
          <rPr>
            <sz val="9"/>
            <color indexed="81"/>
            <rFont val="Tahoma"/>
            <family val="2"/>
          </rPr>
          <t xml:space="preserve">
meest rechtse mastervolt in garage, verbonden met 10x125Wp</t>
        </r>
      </text>
    </comment>
  </commentList>
</comments>
</file>

<file path=xl/sharedStrings.xml><?xml version="1.0" encoding="utf-8"?>
<sst xmlns="http://schemas.openxmlformats.org/spreadsheetml/2006/main" count="230" uniqueCount="77">
  <si>
    <t>Datum</t>
  </si>
  <si>
    <t>kWh -stand</t>
  </si>
  <si>
    <t>Bespaard</t>
  </si>
  <si>
    <t>Kosten/kWh</t>
  </si>
  <si>
    <t xml:space="preserve">tarieven: </t>
  </si>
  <si>
    <t>http://www.greenchoice.nl/thuis/klant-worden/tarieven/kortingsgarantie-tarief#</t>
  </si>
  <si>
    <t>kostprijs:</t>
  </si>
  <si>
    <t>piekvermogen</t>
  </si>
  <si>
    <t>Wp</t>
  </si>
  <si>
    <t>subsidie:</t>
  </si>
  <si>
    <t>kosten leggen:</t>
  </si>
  <si>
    <t>Totaal:</t>
  </si>
  <si>
    <t>Eur/Wp</t>
  </si>
  <si>
    <t>% terugverdiend</t>
  </si>
  <si>
    <t>100 % op:</t>
  </si>
  <si>
    <t>tijdsduur</t>
  </si>
  <si>
    <t>jaar</t>
  </si>
  <si>
    <t>Energiemeter:</t>
  </si>
  <si>
    <t>A</t>
  </si>
  <si>
    <t>B</t>
  </si>
  <si>
    <t>404000072455</t>
  </si>
  <si>
    <t>1e inverter, vooraan bij garage</t>
  </si>
  <si>
    <t>links</t>
  </si>
  <si>
    <t>rechts</t>
  </si>
  <si>
    <t>links is kant buren, rechts is onze tuinkant</t>
  </si>
  <si>
    <t>404000072454</t>
  </si>
  <si>
    <t>2e</t>
  </si>
  <si>
    <t>404000072574</t>
  </si>
  <si>
    <t>3e, kant van de buren paneel 3 en 4</t>
  </si>
  <si>
    <t>404000073074</t>
  </si>
  <si>
    <t>4e, kant van eigen tuin, paneel 3 en 4</t>
  </si>
  <si>
    <t>404000073285</t>
  </si>
  <si>
    <t>5e</t>
  </si>
  <si>
    <t>404000072702</t>
  </si>
  <si>
    <t>6e</t>
  </si>
  <si>
    <t>404000073175</t>
  </si>
  <si>
    <t>7e en laatste, dichtste bij de zuiderburen</t>
  </si>
  <si>
    <t>Losten/kWh % Mrt13</t>
  </si>
  <si>
    <t>kWh/kWp</t>
  </si>
  <si>
    <t>kWh-stand2</t>
  </si>
  <si>
    <t>Invloed bomen zuiderburen opBenQ panelen</t>
  </si>
  <si>
    <t>Donderdag 12 maart 2015</t>
  </si>
  <si>
    <t>Tijdstip</t>
  </si>
  <si>
    <t>Actuele opbrengst [W]</t>
  </si>
  <si>
    <t>Cum opbrengst [Wh]</t>
  </si>
  <si>
    <t>Opbrengst actueel:</t>
  </si>
  <si>
    <t>kWh</t>
  </si>
  <si>
    <t>Opbrengst zonder bomen:</t>
  </si>
  <si>
    <t>Opbrengst zonder bomen [W]</t>
  </si>
  <si>
    <t>Opbr met boom 1</t>
  </si>
  <si>
    <t>Opbr zonder boom 1</t>
  </si>
  <si>
    <t>Opbr met boom 2</t>
  </si>
  <si>
    <t>Opbr zonder boom 2</t>
  </si>
  <si>
    <t>BeginConv2</t>
  </si>
  <si>
    <t>BeginConv1</t>
  </si>
  <si>
    <t>kWh-stand1</t>
  </si>
  <si>
    <t>Sum kWh</t>
  </si>
  <si>
    <t>ma/vrij 7-21</t>
  </si>
  <si>
    <t>dal is rest</t>
  </si>
  <si>
    <t>FR_1920</t>
  </si>
  <si>
    <t>APS_510</t>
  </si>
  <si>
    <t>Steca_2040</t>
  </si>
  <si>
    <t>7APS_3080</t>
  </si>
  <si>
    <t>BenQ_981</t>
  </si>
  <si>
    <t>Kyocera_2445</t>
  </si>
  <si>
    <t>Totaal</t>
  </si>
  <si>
    <t>Delta</t>
  </si>
  <si>
    <t>Cum since 15 Mar</t>
  </si>
  <si>
    <t>2014-3</t>
  </si>
  <si>
    <t>2015-3</t>
  </si>
  <si>
    <t>2015-8</t>
  </si>
  <si>
    <t>kWh/dag</t>
  </si>
  <si>
    <t>Totaal Wp</t>
  </si>
  <si>
    <t>2016-3</t>
  </si>
  <si>
    <t>Per year</t>
  </si>
  <si>
    <t>2016-8.</t>
  </si>
  <si>
    <t>2017-3.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</si>
</sst>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\ #,##0.00"/>
    <numFmt numFmtId="165" formatCode="0.0%"/>
    <numFmt numFmtId="166" formatCode="[$-409]d\-mmm\-yy;@"/>
    <numFmt numFmtId="167" formatCode="0.0"/>
  </numFmts>
  <fonts count="11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164" fontId="0" fillId="0" borderId="0" xfId="0" applyNumberFormat="1"/>
    <xf numFmtId="0" fontId="1" fillId="0" borderId="0" xfId="1" applyAlignment="1" applyProtection="1"/>
    <xf numFmtId="15" fontId="0" fillId="0" borderId="0" xfId="0" applyNumberFormat="1"/>
    <xf numFmtId="2" fontId="2" fillId="0" borderId="0" xfId="0" applyNumberFormat="1" applyFont="1"/>
    <xf numFmtId="0" fontId="2" fillId="0" borderId="0" xfId="0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0" fontId="0" fillId="0" borderId="0" xfId="0" applyNumberFormat="1"/>
    <xf numFmtId="0" fontId="0" fillId="0" borderId="0" xfId="0" quotePrefix="1"/>
    <xf numFmtId="0" fontId="0" fillId="0" borderId="0" xfId="0" quotePrefix="1" applyFont="1"/>
    <xf numFmtId="0" fontId="0" fillId="0" borderId="0" xfId="0" applyFont="1"/>
    <xf numFmtId="0" fontId="0" fillId="2" borderId="0" xfId="0" applyFill="1"/>
    <xf numFmtId="165" fontId="0" fillId="0" borderId="0" xfId="0" applyNumberFormat="1"/>
    <xf numFmtId="0" fontId="5" fillId="0" borderId="0" xfId="0" applyFont="1"/>
    <xf numFmtId="1" fontId="5" fillId="0" borderId="0" xfId="0" applyNumberFormat="1" applyFont="1"/>
    <xf numFmtId="20" fontId="0" fillId="0" borderId="0" xfId="0" applyNumberFormat="1"/>
    <xf numFmtId="0" fontId="0" fillId="0" borderId="0" xfId="0" applyFill="1"/>
    <xf numFmtId="2" fontId="0" fillId="0" borderId="0" xfId="0" applyNumberFormat="1"/>
    <xf numFmtId="0" fontId="6" fillId="0" borderId="0" xfId="0" applyFont="1"/>
    <xf numFmtId="0" fontId="7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1" fontId="2" fillId="0" borderId="0" xfId="0" applyNumberFormat="1" applyFont="1" applyAlignment="1">
      <alignment horizontal="center"/>
    </xf>
    <xf numFmtId="164" fontId="6" fillId="0" borderId="0" xfId="0" applyNumberFormat="1" applyFont="1"/>
    <xf numFmtId="0" fontId="6" fillId="2" borderId="0" xfId="0" applyFont="1" applyFill="1"/>
  </cellXfs>
  <cellStyles count="10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Zonpaneel_FR20!$B$1</c:f>
              <c:strCache>
                <c:ptCount val="1"/>
                <c:pt idx="0">
                  <c:v>kWh -stand</c:v>
                </c:pt>
              </c:strCache>
            </c:strRef>
          </c:tx>
          <c:marker>
            <c:symbol val="diamond"/>
            <c:size val="6"/>
          </c:marker>
          <c:xVal>
            <c:numRef>
              <c:f>Zonpaneel_FR20!$A$2:$A$2000</c:f>
              <c:numCache>
                <c:formatCode>d\-mmm\-yy</c:formatCode>
                <c:ptCount val="1999"/>
                <c:pt idx="0">
                  <c:v>41342.0</c:v>
                </c:pt>
                <c:pt idx="1">
                  <c:v>41364.0</c:v>
                </c:pt>
                <c:pt idx="2">
                  <c:v>41370.0</c:v>
                </c:pt>
                <c:pt idx="3">
                  <c:v>41375.0</c:v>
                </c:pt>
                <c:pt idx="4">
                  <c:v>41399.0</c:v>
                </c:pt>
                <c:pt idx="5">
                  <c:v>41402.0</c:v>
                </c:pt>
                <c:pt idx="6">
                  <c:v>41405.0</c:v>
                </c:pt>
                <c:pt idx="7">
                  <c:v>41411.0</c:v>
                </c:pt>
                <c:pt idx="8">
                  <c:v>41420.0</c:v>
                </c:pt>
                <c:pt idx="9">
                  <c:v>41430.0</c:v>
                </c:pt>
                <c:pt idx="10">
                  <c:v>41468.0</c:v>
                </c:pt>
                <c:pt idx="11">
                  <c:v>41480.0</c:v>
                </c:pt>
                <c:pt idx="12">
                  <c:v>41494.0</c:v>
                </c:pt>
                <c:pt idx="13">
                  <c:v>41514.0</c:v>
                </c:pt>
                <c:pt idx="14">
                  <c:v>41526.0</c:v>
                </c:pt>
                <c:pt idx="15">
                  <c:v>41537.0</c:v>
                </c:pt>
                <c:pt idx="16">
                  <c:v>41547.0</c:v>
                </c:pt>
                <c:pt idx="17">
                  <c:v>41554.0</c:v>
                </c:pt>
                <c:pt idx="18">
                  <c:v>41578.0</c:v>
                </c:pt>
                <c:pt idx="19">
                  <c:v>41613.0</c:v>
                </c:pt>
                <c:pt idx="20">
                  <c:v>41620.0</c:v>
                </c:pt>
                <c:pt idx="21">
                  <c:v>41621.0</c:v>
                </c:pt>
                <c:pt idx="22">
                  <c:v>41648.0</c:v>
                </c:pt>
                <c:pt idx="23">
                  <c:v>41649.0</c:v>
                </c:pt>
                <c:pt idx="24">
                  <c:v>41659.0</c:v>
                </c:pt>
                <c:pt idx="25">
                  <c:v>41667.0</c:v>
                </c:pt>
                <c:pt idx="26">
                  <c:v>41671.0</c:v>
                </c:pt>
                <c:pt idx="27">
                  <c:v>41673.0</c:v>
                </c:pt>
                <c:pt idx="28">
                  <c:v>41681.0</c:v>
                </c:pt>
                <c:pt idx="29">
                  <c:v>41687.0</c:v>
                </c:pt>
                <c:pt idx="30">
                  <c:v>41693.0</c:v>
                </c:pt>
                <c:pt idx="31">
                  <c:v>41695.0</c:v>
                </c:pt>
                <c:pt idx="32">
                  <c:v>41699.0</c:v>
                </c:pt>
                <c:pt idx="33">
                  <c:v>41700.0</c:v>
                </c:pt>
                <c:pt idx="34">
                  <c:v>41703.0</c:v>
                </c:pt>
                <c:pt idx="35">
                  <c:v>41705.0</c:v>
                </c:pt>
                <c:pt idx="36">
                  <c:v>41710.0</c:v>
                </c:pt>
                <c:pt idx="37">
                  <c:v>41718.0</c:v>
                </c:pt>
                <c:pt idx="38">
                  <c:v>41723.0</c:v>
                </c:pt>
                <c:pt idx="39">
                  <c:v>41725.0</c:v>
                </c:pt>
                <c:pt idx="40">
                  <c:v>41732.0</c:v>
                </c:pt>
                <c:pt idx="41">
                  <c:v>41738.0</c:v>
                </c:pt>
                <c:pt idx="42">
                  <c:v>41748.0</c:v>
                </c:pt>
                <c:pt idx="43">
                  <c:v>41750.0</c:v>
                </c:pt>
                <c:pt idx="44">
                  <c:v>41760.0</c:v>
                </c:pt>
                <c:pt idx="45">
                  <c:v>41767.0</c:v>
                </c:pt>
                <c:pt idx="46">
                  <c:v>41773.0</c:v>
                </c:pt>
                <c:pt idx="47">
                  <c:v>41777.0</c:v>
                </c:pt>
                <c:pt idx="48">
                  <c:v>41782.0</c:v>
                </c:pt>
                <c:pt idx="49">
                  <c:v>41799.0</c:v>
                </c:pt>
                <c:pt idx="50">
                  <c:v>41808.0</c:v>
                </c:pt>
                <c:pt idx="51">
                  <c:v>41815.0</c:v>
                </c:pt>
                <c:pt idx="52">
                  <c:v>41830.0</c:v>
                </c:pt>
                <c:pt idx="53">
                  <c:v>41842.0</c:v>
                </c:pt>
                <c:pt idx="54">
                  <c:v>41846.0</c:v>
                </c:pt>
                <c:pt idx="55">
                  <c:v>41849.0</c:v>
                </c:pt>
                <c:pt idx="56">
                  <c:v>41854.0</c:v>
                </c:pt>
                <c:pt idx="57">
                  <c:v>41882.0</c:v>
                </c:pt>
                <c:pt idx="58">
                  <c:v>41885.0</c:v>
                </c:pt>
                <c:pt idx="59">
                  <c:v>41887.0</c:v>
                </c:pt>
                <c:pt idx="60">
                  <c:v>41893.0</c:v>
                </c:pt>
                <c:pt idx="61">
                  <c:v>41896.0</c:v>
                </c:pt>
                <c:pt idx="62">
                  <c:v>41897.0</c:v>
                </c:pt>
                <c:pt idx="63">
                  <c:v>41901.0</c:v>
                </c:pt>
                <c:pt idx="64">
                  <c:v>41904.0</c:v>
                </c:pt>
                <c:pt idx="65">
                  <c:v>41957.0</c:v>
                </c:pt>
                <c:pt idx="66">
                  <c:v>41978.0</c:v>
                </c:pt>
                <c:pt idx="67">
                  <c:v>42011.0</c:v>
                </c:pt>
                <c:pt idx="68">
                  <c:v>42033.0</c:v>
                </c:pt>
                <c:pt idx="69">
                  <c:v>42058.0</c:v>
                </c:pt>
                <c:pt idx="70">
                  <c:v>42062.0</c:v>
                </c:pt>
                <c:pt idx="71">
                  <c:v>42064.0</c:v>
                </c:pt>
                <c:pt idx="72">
                  <c:v>42078.0</c:v>
                </c:pt>
                <c:pt idx="73">
                  <c:v>42099.0</c:v>
                </c:pt>
                <c:pt idx="74">
                  <c:v>42109.0</c:v>
                </c:pt>
                <c:pt idx="75">
                  <c:v>42122.0</c:v>
                </c:pt>
                <c:pt idx="76">
                  <c:v>42125.0</c:v>
                </c:pt>
                <c:pt idx="77">
                  <c:v>42140.0</c:v>
                </c:pt>
                <c:pt idx="78">
                  <c:v>42156.0</c:v>
                </c:pt>
                <c:pt idx="79">
                  <c:v>42169.0</c:v>
                </c:pt>
                <c:pt idx="80">
                  <c:v>42193.0</c:v>
                </c:pt>
                <c:pt idx="81">
                  <c:v>42203.0</c:v>
                </c:pt>
                <c:pt idx="82">
                  <c:v>42219.0</c:v>
                </c:pt>
                <c:pt idx="83">
                  <c:v>42232.0</c:v>
                </c:pt>
                <c:pt idx="84">
                  <c:v>42245.0</c:v>
                </c:pt>
                <c:pt idx="85">
                  <c:v>42284.0</c:v>
                </c:pt>
                <c:pt idx="86">
                  <c:v>42294.0</c:v>
                </c:pt>
                <c:pt idx="87">
                  <c:v>42309.0</c:v>
                </c:pt>
                <c:pt idx="88">
                  <c:v>42322.0</c:v>
                </c:pt>
                <c:pt idx="89">
                  <c:v>42358.0</c:v>
                </c:pt>
                <c:pt idx="90">
                  <c:v>42371.0</c:v>
                </c:pt>
                <c:pt idx="91">
                  <c:v>42386.0</c:v>
                </c:pt>
                <c:pt idx="92">
                  <c:v>42403.0</c:v>
                </c:pt>
                <c:pt idx="93">
                  <c:v>42422.0</c:v>
                </c:pt>
                <c:pt idx="94">
                  <c:v>42430.0</c:v>
                </c:pt>
                <c:pt idx="95">
                  <c:v>42444.0</c:v>
                </c:pt>
                <c:pt idx="96">
                  <c:v>42461.0</c:v>
                </c:pt>
                <c:pt idx="97">
                  <c:v>42478.0</c:v>
                </c:pt>
                <c:pt idx="98">
                  <c:v>42493.0</c:v>
                </c:pt>
                <c:pt idx="99">
                  <c:v>42506.0</c:v>
                </c:pt>
                <c:pt idx="100">
                  <c:v>42522.0</c:v>
                </c:pt>
                <c:pt idx="101">
                  <c:v>42552.0</c:v>
                </c:pt>
                <c:pt idx="102">
                  <c:v>42585.0</c:v>
                </c:pt>
                <c:pt idx="103">
                  <c:v>42619.0</c:v>
                </c:pt>
                <c:pt idx="104">
                  <c:v>42644.0</c:v>
                </c:pt>
                <c:pt idx="105">
                  <c:v>42675.0</c:v>
                </c:pt>
                <c:pt idx="106">
                  <c:v>42746.0</c:v>
                </c:pt>
                <c:pt idx="107">
                  <c:v>42767.0</c:v>
                </c:pt>
                <c:pt idx="108">
                  <c:v>42795.0</c:v>
                </c:pt>
                <c:pt idx="109">
                  <c:v>42826.0</c:v>
                </c:pt>
                <c:pt idx="110">
                  <c:v>42887.0</c:v>
                </c:pt>
              </c:numCache>
            </c:numRef>
          </c:xVal>
          <c:yVal>
            <c:numRef>
              <c:f>Zonpaneel_FR20!$B$2:$B$2000</c:f>
              <c:numCache>
                <c:formatCode>General</c:formatCode>
                <c:ptCount val="1999"/>
                <c:pt idx="0">
                  <c:v>0.0</c:v>
                </c:pt>
                <c:pt idx="1">
                  <c:v>119.0</c:v>
                </c:pt>
                <c:pt idx="2">
                  <c:v>150.0</c:v>
                </c:pt>
                <c:pt idx="3">
                  <c:v>176.0</c:v>
                </c:pt>
                <c:pt idx="4">
                  <c:v>361.0</c:v>
                </c:pt>
                <c:pt idx="5">
                  <c:v>393.0</c:v>
                </c:pt>
                <c:pt idx="6">
                  <c:v>415.0</c:v>
                </c:pt>
                <c:pt idx="7">
                  <c:v>440.0</c:v>
                </c:pt>
                <c:pt idx="8">
                  <c:v>486.0</c:v>
                </c:pt>
                <c:pt idx="9">
                  <c:v>569.0</c:v>
                </c:pt>
                <c:pt idx="10">
                  <c:v>850.0</c:v>
                </c:pt>
                <c:pt idx="11">
                  <c:v>964.0</c:v>
                </c:pt>
                <c:pt idx="12">
                  <c:v>1073.0</c:v>
                </c:pt>
                <c:pt idx="13">
                  <c:v>1214.0</c:v>
                </c:pt>
                <c:pt idx="14">
                  <c:v>1294.0</c:v>
                </c:pt>
                <c:pt idx="15">
                  <c:v>1347.0</c:v>
                </c:pt>
                <c:pt idx="16">
                  <c:v>1411.0</c:v>
                </c:pt>
                <c:pt idx="17">
                  <c:v>1454.0</c:v>
                </c:pt>
                <c:pt idx="18">
                  <c:v>1510.0</c:v>
                </c:pt>
                <c:pt idx="19">
                  <c:v>1550.0</c:v>
                </c:pt>
                <c:pt idx="20">
                  <c:v>1557.0</c:v>
                </c:pt>
                <c:pt idx="21">
                  <c:v>1561.0</c:v>
                </c:pt>
                <c:pt idx="22">
                  <c:v>1597.0</c:v>
                </c:pt>
                <c:pt idx="23">
                  <c:v>1601.0</c:v>
                </c:pt>
                <c:pt idx="24">
                  <c:v>1615.0</c:v>
                </c:pt>
                <c:pt idx="25">
                  <c:v>1626.0</c:v>
                </c:pt>
                <c:pt idx="26">
                  <c:v>1639.0</c:v>
                </c:pt>
                <c:pt idx="27">
                  <c:v>1651.0</c:v>
                </c:pt>
                <c:pt idx="28">
                  <c:v>1669.0</c:v>
                </c:pt>
                <c:pt idx="29">
                  <c:v>1687.0</c:v>
                </c:pt>
                <c:pt idx="30">
                  <c:v>1702.0</c:v>
                </c:pt>
                <c:pt idx="31">
                  <c:v>1719.0</c:v>
                </c:pt>
                <c:pt idx="32">
                  <c:v>1737.0</c:v>
                </c:pt>
                <c:pt idx="33">
                  <c:v>1745.0</c:v>
                </c:pt>
                <c:pt idx="34">
                  <c:v>1763.0</c:v>
                </c:pt>
                <c:pt idx="35">
                  <c:v>1773.0</c:v>
                </c:pt>
                <c:pt idx="36">
                  <c:v>1828.0</c:v>
                </c:pt>
                <c:pt idx="37">
                  <c:v>1867.0</c:v>
                </c:pt>
                <c:pt idx="38">
                  <c:v>1895.0</c:v>
                </c:pt>
                <c:pt idx="39">
                  <c:v>1911.0</c:v>
                </c:pt>
                <c:pt idx="40">
                  <c:v>1973.0</c:v>
                </c:pt>
                <c:pt idx="41">
                  <c:v>2010.0</c:v>
                </c:pt>
                <c:pt idx="42">
                  <c:v>2083.0</c:v>
                </c:pt>
                <c:pt idx="43">
                  <c:v>2096.0</c:v>
                </c:pt>
                <c:pt idx="44">
                  <c:v>2169.0</c:v>
                </c:pt>
                <c:pt idx="45">
                  <c:v>2217.0</c:v>
                </c:pt>
                <c:pt idx="46">
                  <c:v>2237.0</c:v>
                </c:pt>
                <c:pt idx="47">
                  <c:v>2287.0</c:v>
                </c:pt>
                <c:pt idx="48">
                  <c:v>2326.0</c:v>
                </c:pt>
                <c:pt idx="49">
                  <c:v>2452.0</c:v>
                </c:pt>
                <c:pt idx="50">
                  <c:v>2527.0</c:v>
                </c:pt>
                <c:pt idx="51">
                  <c:v>2585.0</c:v>
                </c:pt>
                <c:pt idx="52">
                  <c:v>2688.0</c:v>
                </c:pt>
                <c:pt idx="53">
                  <c:v>2779.0</c:v>
                </c:pt>
                <c:pt idx="54">
                  <c:v>2810.0</c:v>
                </c:pt>
                <c:pt idx="55">
                  <c:v>2835.0</c:v>
                </c:pt>
                <c:pt idx="56">
                  <c:v>2866.0</c:v>
                </c:pt>
                <c:pt idx="57">
                  <c:v>3055.0</c:v>
                </c:pt>
                <c:pt idx="58">
                  <c:v>3086.0</c:v>
                </c:pt>
                <c:pt idx="59">
                  <c:v>3100.0</c:v>
                </c:pt>
                <c:pt idx="60">
                  <c:v>3128.0</c:v>
                </c:pt>
                <c:pt idx="61">
                  <c:v>3155.0</c:v>
                </c:pt>
                <c:pt idx="62">
                  <c:v>3165.0</c:v>
                </c:pt>
                <c:pt idx="63">
                  <c:v>3191.0</c:v>
                </c:pt>
                <c:pt idx="64">
                  <c:v>3208.0</c:v>
                </c:pt>
                <c:pt idx="65">
                  <c:v>3385.0</c:v>
                </c:pt>
                <c:pt idx="66">
                  <c:v>3411.0</c:v>
                </c:pt>
                <c:pt idx="67">
                  <c:v>3441.0</c:v>
                </c:pt>
                <c:pt idx="68">
                  <c:v>3462.0</c:v>
                </c:pt>
                <c:pt idx="69">
                  <c:v>3541.0</c:v>
                </c:pt>
                <c:pt idx="70">
                  <c:v>3556.0</c:v>
                </c:pt>
                <c:pt idx="71">
                  <c:v>3568.0</c:v>
                </c:pt>
                <c:pt idx="72">
                  <c:v>3646.0</c:v>
                </c:pt>
                <c:pt idx="73">
                  <c:v>3752.0</c:v>
                </c:pt>
                <c:pt idx="74">
                  <c:v>3843.0</c:v>
                </c:pt>
                <c:pt idx="75">
                  <c:v>3964.0</c:v>
                </c:pt>
                <c:pt idx="76">
                  <c:v>3988.0</c:v>
                </c:pt>
                <c:pt idx="77">
                  <c:v>4126.0</c:v>
                </c:pt>
                <c:pt idx="78">
                  <c:v>4243.0</c:v>
                </c:pt>
                <c:pt idx="79">
                  <c:v>4363.0</c:v>
                </c:pt>
                <c:pt idx="80">
                  <c:v>4573.0</c:v>
                </c:pt>
                <c:pt idx="81">
                  <c:v>4650.0</c:v>
                </c:pt>
                <c:pt idx="82">
                  <c:v>4766.0</c:v>
                </c:pt>
                <c:pt idx="83">
                  <c:v>4864.0</c:v>
                </c:pt>
                <c:pt idx="84">
                  <c:v>4939.0</c:v>
                </c:pt>
                <c:pt idx="85">
                  <c:v>5186.0</c:v>
                </c:pt>
                <c:pt idx="86">
                  <c:v>5217.0</c:v>
                </c:pt>
                <c:pt idx="87">
                  <c:v>5261.0</c:v>
                </c:pt>
                <c:pt idx="88">
                  <c:v>5283.0</c:v>
                </c:pt>
                <c:pt idx="89">
                  <c:v>5330.0</c:v>
                </c:pt>
                <c:pt idx="90">
                  <c:v>5348.0</c:v>
                </c:pt>
                <c:pt idx="91">
                  <c:v>5366.0</c:v>
                </c:pt>
                <c:pt idx="92">
                  <c:v>5392.0</c:v>
                </c:pt>
                <c:pt idx="93">
                  <c:v>5451.0</c:v>
                </c:pt>
                <c:pt idx="94">
                  <c:v>5497.0</c:v>
                </c:pt>
                <c:pt idx="95">
                  <c:v>5576.0</c:v>
                </c:pt>
                <c:pt idx="96">
                  <c:v>5661.0</c:v>
                </c:pt>
                <c:pt idx="97">
                  <c:v>5779.0</c:v>
                </c:pt>
                <c:pt idx="98">
                  <c:v>5882.0</c:v>
                </c:pt>
                <c:pt idx="99">
                  <c:v>6020.0</c:v>
                </c:pt>
                <c:pt idx="100">
                  <c:v>6100.0</c:v>
                </c:pt>
                <c:pt idx="101">
                  <c:v>6305.0</c:v>
                </c:pt>
                <c:pt idx="102">
                  <c:v>6550.0</c:v>
                </c:pt>
                <c:pt idx="103">
                  <c:v>6811.0</c:v>
                </c:pt>
                <c:pt idx="104">
                  <c:v>7007.0</c:v>
                </c:pt>
                <c:pt idx="105">
                  <c:v>7115.0</c:v>
                </c:pt>
                <c:pt idx="106">
                  <c:v>7203.0</c:v>
                </c:pt>
                <c:pt idx="107">
                  <c:v>7240.0</c:v>
                </c:pt>
                <c:pt idx="108">
                  <c:v>7301.0</c:v>
                </c:pt>
                <c:pt idx="109">
                  <c:v>7487.0</c:v>
                </c:pt>
                <c:pt idx="110">
                  <c:v>7930.0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69196680"/>
        <c:axId val="-2043991768"/>
      </c:scatterChart>
      <c:scatterChart>
        <c:scatterStyle val="smoothMarker"/>
        <c:varyColors val="0"/>
        <c:ser>
          <c:idx val="1"/>
          <c:order val="1"/>
          <c:tx>
            <c:strRef>
              <c:f>Zonpaneel_FR20!$C$1</c:f>
              <c:strCache>
                <c:ptCount val="1"/>
                <c:pt idx="0">
                  <c:v>Bespaard</c:v>
                </c:pt>
              </c:strCache>
            </c:strRef>
          </c:tx>
          <c:marker>
            <c:symbol val="square"/>
            <c:size val="4"/>
          </c:marker>
          <c:xVal>
            <c:numRef>
              <c:f>Zonpaneel_FR20!$A$2:$A$2000</c:f>
              <c:numCache>
                <c:formatCode>d\-mmm\-yy</c:formatCode>
                <c:ptCount val="1999"/>
                <c:pt idx="0">
                  <c:v>41342.0</c:v>
                </c:pt>
                <c:pt idx="1">
                  <c:v>41364.0</c:v>
                </c:pt>
                <c:pt idx="2">
                  <c:v>41370.0</c:v>
                </c:pt>
                <c:pt idx="3">
                  <c:v>41375.0</c:v>
                </c:pt>
                <c:pt idx="4">
                  <c:v>41399.0</c:v>
                </c:pt>
                <c:pt idx="5">
                  <c:v>41402.0</c:v>
                </c:pt>
                <c:pt idx="6">
                  <c:v>41405.0</c:v>
                </c:pt>
                <c:pt idx="7">
                  <c:v>41411.0</c:v>
                </c:pt>
                <c:pt idx="8">
                  <c:v>41420.0</c:v>
                </c:pt>
                <c:pt idx="9">
                  <c:v>41430.0</c:v>
                </c:pt>
                <c:pt idx="10">
                  <c:v>41468.0</c:v>
                </c:pt>
                <c:pt idx="11">
                  <c:v>41480.0</c:v>
                </c:pt>
                <c:pt idx="12">
                  <c:v>41494.0</c:v>
                </c:pt>
                <c:pt idx="13">
                  <c:v>41514.0</c:v>
                </c:pt>
                <c:pt idx="14">
                  <c:v>41526.0</c:v>
                </c:pt>
                <c:pt idx="15">
                  <c:v>41537.0</c:v>
                </c:pt>
                <c:pt idx="16">
                  <c:v>41547.0</c:v>
                </c:pt>
                <c:pt idx="17">
                  <c:v>41554.0</c:v>
                </c:pt>
                <c:pt idx="18">
                  <c:v>41578.0</c:v>
                </c:pt>
                <c:pt idx="19">
                  <c:v>41613.0</c:v>
                </c:pt>
                <c:pt idx="20">
                  <c:v>41620.0</c:v>
                </c:pt>
                <c:pt idx="21">
                  <c:v>41621.0</c:v>
                </c:pt>
                <c:pt idx="22">
                  <c:v>41648.0</c:v>
                </c:pt>
                <c:pt idx="23">
                  <c:v>41649.0</c:v>
                </c:pt>
                <c:pt idx="24">
                  <c:v>41659.0</c:v>
                </c:pt>
                <c:pt idx="25">
                  <c:v>41667.0</c:v>
                </c:pt>
                <c:pt idx="26">
                  <c:v>41671.0</c:v>
                </c:pt>
                <c:pt idx="27">
                  <c:v>41673.0</c:v>
                </c:pt>
                <c:pt idx="28">
                  <c:v>41681.0</c:v>
                </c:pt>
                <c:pt idx="29">
                  <c:v>41687.0</c:v>
                </c:pt>
                <c:pt idx="30">
                  <c:v>41693.0</c:v>
                </c:pt>
                <c:pt idx="31">
                  <c:v>41695.0</c:v>
                </c:pt>
                <c:pt idx="32">
                  <c:v>41699.0</c:v>
                </c:pt>
                <c:pt idx="33">
                  <c:v>41700.0</c:v>
                </c:pt>
                <c:pt idx="34">
                  <c:v>41703.0</c:v>
                </c:pt>
                <c:pt idx="35">
                  <c:v>41705.0</c:v>
                </c:pt>
                <c:pt idx="36">
                  <c:v>41710.0</c:v>
                </c:pt>
                <c:pt idx="37">
                  <c:v>41718.0</c:v>
                </c:pt>
                <c:pt idx="38">
                  <c:v>41723.0</c:v>
                </c:pt>
                <c:pt idx="39">
                  <c:v>41725.0</c:v>
                </c:pt>
                <c:pt idx="40">
                  <c:v>41732.0</c:v>
                </c:pt>
                <c:pt idx="41">
                  <c:v>41738.0</c:v>
                </c:pt>
                <c:pt idx="42">
                  <c:v>41748.0</c:v>
                </c:pt>
                <c:pt idx="43">
                  <c:v>41750.0</c:v>
                </c:pt>
                <c:pt idx="44">
                  <c:v>41760.0</c:v>
                </c:pt>
                <c:pt idx="45">
                  <c:v>41767.0</c:v>
                </c:pt>
                <c:pt idx="46">
                  <c:v>41773.0</c:v>
                </c:pt>
                <c:pt idx="47">
                  <c:v>41777.0</c:v>
                </c:pt>
                <c:pt idx="48">
                  <c:v>41782.0</c:v>
                </c:pt>
                <c:pt idx="49">
                  <c:v>41799.0</c:v>
                </c:pt>
                <c:pt idx="50">
                  <c:v>41808.0</c:v>
                </c:pt>
                <c:pt idx="51">
                  <c:v>41815.0</c:v>
                </c:pt>
                <c:pt idx="52">
                  <c:v>41830.0</c:v>
                </c:pt>
                <c:pt idx="53">
                  <c:v>41842.0</c:v>
                </c:pt>
                <c:pt idx="54">
                  <c:v>41846.0</c:v>
                </c:pt>
                <c:pt idx="55">
                  <c:v>41849.0</c:v>
                </c:pt>
                <c:pt idx="56">
                  <c:v>41854.0</c:v>
                </c:pt>
                <c:pt idx="57">
                  <c:v>41882.0</c:v>
                </c:pt>
                <c:pt idx="58">
                  <c:v>41885.0</c:v>
                </c:pt>
                <c:pt idx="59">
                  <c:v>41887.0</c:v>
                </c:pt>
                <c:pt idx="60">
                  <c:v>41893.0</c:v>
                </c:pt>
                <c:pt idx="61">
                  <c:v>41896.0</c:v>
                </c:pt>
                <c:pt idx="62">
                  <c:v>41897.0</c:v>
                </c:pt>
                <c:pt idx="63">
                  <c:v>41901.0</c:v>
                </c:pt>
                <c:pt idx="64">
                  <c:v>41904.0</c:v>
                </c:pt>
                <c:pt idx="65">
                  <c:v>41957.0</c:v>
                </c:pt>
                <c:pt idx="66">
                  <c:v>41978.0</c:v>
                </c:pt>
                <c:pt idx="67">
                  <c:v>42011.0</c:v>
                </c:pt>
                <c:pt idx="68">
                  <c:v>42033.0</c:v>
                </c:pt>
                <c:pt idx="69">
                  <c:v>42058.0</c:v>
                </c:pt>
                <c:pt idx="70">
                  <c:v>42062.0</c:v>
                </c:pt>
                <c:pt idx="71">
                  <c:v>42064.0</c:v>
                </c:pt>
                <c:pt idx="72">
                  <c:v>42078.0</c:v>
                </c:pt>
                <c:pt idx="73">
                  <c:v>42099.0</c:v>
                </c:pt>
                <c:pt idx="74">
                  <c:v>42109.0</c:v>
                </c:pt>
                <c:pt idx="75">
                  <c:v>42122.0</c:v>
                </c:pt>
                <c:pt idx="76">
                  <c:v>42125.0</c:v>
                </c:pt>
                <c:pt idx="77">
                  <c:v>42140.0</c:v>
                </c:pt>
                <c:pt idx="78">
                  <c:v>42156.0</c:v>
                </c:pt>
                <c:pt idx="79">
                  <c:v>42169.0</c:v>
                </c:pt>
                <c:pt idx="80">
                  <c:v>42193.0</c:v>
                </c:pt>
                <c:pt idx="81">
                  <c:v>42203.0</c:v>
                </c:pt>
                <c:pt idx="82">
                  <c:v>42219.0</c:v>
                </c:pt>
                <c:pt idx="83">
                  <c:v>42232.0</c:v>
                </c:pt>
                <c:pt idx="84">
                  <c:v>42245.0</c:v>
                </c:pt>
                <c:pt idx="85">
                  <c:v>42284.0</c:v>
                </c:pt>
                <c:pt idx="86">
                  <c:v>42294.0</c:v>
                </c:pt>
                <c:pt idx="87">
                  <c:v>42309.0</c:v>
                </c:pt>
                <c:pt idx="88">
                  <c:v>42322.0</c:v>
                </c:pt>
                <c:pt idx="89">
                  <c:v>42358.0</c:v>
                </c:pt>
                <c:pt idx="90">
                  <c:v>42371.0</c:v>
                </c:pt>
                <c:pt idx="91">
                  <c:v>42386.0</c:v>
                </c:pt>
                <c:pt idx="92">
                  <c:v>42403.0</c:v>
                </c:pt>
                <c:pt idx="93">
                  <c:v>42422.0</c:v>
                </c:pt>
                <c:pt idx="94">
                  <c:v>42430.0</c:v>
                </c:pt>
                <c:pt idx="95">
                  <c:v>42444.0</c:v>
                </c:pt>
                <c:pt idx="96">
                  <c:v>42461.0</c:v>
                </c:pt>
                <c:pt idx="97">
                  <c:v>42478.0</c:v>
                </c:pt>
                <c:pt idx="98">
                  <c:v>42493.0</c:v>
                </c:pt>
                <c:pt idx="99">
                  <c:v>42506.0</c:v>
                </c:pt>
                <c:pt idx="100">
                  <c:v>42522.0</c:v>
                </c:pt>
                <c:pt idx="101">
                  <c:v>42552.0</c:v>
                </c:pt>
                <c:pt idx="102">
                  <c:v>42585.0</c:v>
                </c:pt>
                <c:pt idx="103">
                  <c:v>42619.0</c:v>
                </c:pt>
                <c:pt idx="104">
                  <c:v>42644.0</c:v>
                </c:pt>
                <c:pt idx="105">
                  <c:v>42675.0</c:v>
                </c:pt>
                <c:pt idx="106">
                  <c:v>42746.0</c:v>
                </c:pt>
                <c:pt idx="107">
                  <c:v>42767.0</c:v>
                </c:pt>
                <c:pt idx="108">
                  <c:v>42795.0</c:v>
                </c:pt>
                <c:pt idx="109">
                  <c:v>42826.0</c:v>
                </c:pt>
                <c:pt idx="110">
                  <c:v>42887.0</c:v>
                </c:pt>
              </c:numCache>
            </c:numRef>
          </c:xVal>
          <c:yVal>
            <c:numRef>
              <c:f>Zonpaneel_FR20!$C$2:$C$2000</c:f>
              <c:numCache>
                <c:formatCode>"€"\ #,##0.00</c:formatCode>
                <c:ptCount val="1999"/>
                <c:pt idx="0">
                  <c:v>0.0</c:v>
                </c:pt>
                <c:pt idx="1">
                  <c:v>26.8583</c:v>
                </c:pt>
                <c:pt idx="2">
                  <c:v>33.855</c:v>
                </c:pt>
                <c:pt idx="3">
                  <c:v>39.7232</c:v>
                </c:pt>
                <c:pt idx="4">
                  <c:v>81.4777</c:v>
                </c:pt>
                <c:pt idx="5">
                  <c:v>88.7001</c:v>
                </c:pt>
                <c:pt idx="6">
                  <c:v>93.66549999999999</c:v>
                </c:pt>
                <c:pt idx="7">
                  <c:v>99.308</c:v>
                </c:pt>
                <c:pt idx="8">
                  <c:v>109.6902</c:v>
                </c:pt>
                <c:pt idx="9">
                  <c:v>128.4233</c:v>
                </c:pt>
                <c:pt idx="10">
                  <c:v>191.4797</c:v>
                </c:pt>
                <c:pt idx="11">
                  <c:v>217.0613</c:v>
                </c:pt>
                <c:pt idx="12">
                  <c:v>241.5209</c:v>
                </c:pt>
                <c:pt idx="13">
                  <c:v>273.1613</c:v>
                </c:pt>
                <c:pt idx="14">
                  <c:v>291.1133</c:v>
                </c:pt>
                <c:pt idx="15">
                  <c:v>303.0065</c:v>
                </c:pt>
                <c:pt idx="16">
                  <c:v>317.3681</c:v>
                </c:pt>
                <c:pt idx="17">
                  <c:v>327.0173</c:v>
                </c:pt>
                <c:pt idx="18">
                  <c:v>339.5837</c:v>
                </c:pt>
                <c:pt idx="19">
                  <c:v>348.5597</c:v>
                </c:pt>
                <c:pt idx="20">
                  <c:v>350.1305</c:v>
                </c:pt>
                <c:pt idx="21">
                  <c:v>351.0281</c:v>
                </c:pt>
                <c:pt idx="22">
                  <c:v>359.2073</c:v>
                </c:pt>
                <c:pt idx="23">
                  <c:v>360.1161</c:v>
                </c:pt>
                <c:pt idx="24">
                  <c:v>363.2968999999999</c:v>
                </c:pt>
                <c:pt idx="25">
                  <c:v>365.7960999999999</c:v>
                </c:pt>
                <c:pt idx="26">
                  <c:v>368.7497</c:v>
                </c:pt>
                <c:pt idx="27">
                  <c:v>371.4760999999999</c:v>
                </c:pt>
                <c:pt idx="28">
                  <c:v>375.5656999999999</c:v>
                </c:pt>
                <c:pt idx="29">
                  <c:v>379.6553</c:v>
                </c:pt>
                <c:pt idx="30">
                  <c:v>383.0633</c:v>
                </c:pt>
                <c:pt idx="31">
                  <c:v>386.9256999999999</c:v>
                </c:pt>
                <c:pt idx="32">
                  <c:v>391.0153</c:v>
                </c:pt>
                <c:pt idx="33">
                  <c:v>392.8329</c:v>
                </c:pt>
                <c:pt idx="34">
                  <c:v>396.9225</c:v>
                </c:pt>
                <c:pt idx="35">
                  <c:v>399.1945</c:v>
                </c:pt>
                <c:pt idx="36">
                  <c:v>411.6905</c:v>
                </c:pt>
                <c:pt idx="37">
                  <c:v>420.5513</c:v>
                </c:pt>
                <c:pt idx="38">
                  <c:v>426.9129</c:v>
                </c:pt>
                <c:pt idx="39">
                  <c:v>430.5481</c:v>
                </c:pt>
                <c:pt idx="40">
                  <c:v>444.6345</c:v>
                </c:pt>
                <c:pt idx="41">
                  <c:v>453.0409</c:v>
                </c:pt>
                <c:pt idx="42">
                  <c:v>469.6265</c:v>
                </c:pt>
                <c:pt idx="43">
                  <c:v>472.5801</c:v>
                </c:pt>
                <c:pt idx="44">
                  <c:v>489.1657</c:v>
                </c:pt>
                <c:pt idx="45">
                  <c:v>500.0713</c:v>
                </c:pt>
                <c:pt idx="46">
                  <c:v>504.6153</c:v>
                </c:pt>
                <c:pt idx="47">
                  <c:v>515.9752999999999</c:v>
                </c:pt>
                <c:pt idx="48">
                  <c:v>524.8361</c:v>
                </c:pt>
                <c:pt idx="49">
                  <c:v>553.4633</c:v>
                </c:pt>
                <c:pt idx="50">
                  <c:v>570.5033</c:v>
                </c:pt>
                <c:pt idx="51">
                  <c:v>583.6809</c:v>
                </c:pt>
                <c:pt idx="52">
                  <c:v>606.6911</c:v>
                </c:pt>
                <c:pt idx="53">
                  <c:v>627.0205</c:v>
                </c:pt>
                <c:pt idx="54">
                  <c:v>633.9458999999999</c:v>
                </c:pt>
                <c:pt idx="55">
                  <c:v>639.5309</c:v>
                </c:pt>
                <c:pt idx="56">
                  <c:v>646.4562999999999</c:v>
                </c:pt>
                <c:pt idx="57">
                  <c:v>688.6788999999998</c:v>
                </c:pt>
                <c:pt idx="58">
                  <c:v>695.6042999999999</c:v>
                </c:pt>
                <c:pt idx="59">
                  <c:v>698.7318999999999</c:v>
                </c:pt>
                <c:pt idx="60">
                  <c:v>704.9870999999998</c:v>
                </c:pt>
                <c:pt idx="61">
                  <c:v>711.0188999999998</c:v>
                </c:pt>
                <c:pt idx="62">
                  <c:v>713.2528999999998</c:v>
                </c:pt>
                <c:pt idx="63">
                  <c:v>719.0612999999998</c:v>
                </c:pt>
                <c:pt idx="64">
                  <c:v>722.8590999999999</c:v>
                </c:pt>
                <c:pt idx="65">
                  <c:v>762.4008999999999</c:v>
                </c:pt>
                <c:pt idx="66">
                  <c:v>768.2092999999999</c:v>
                </c:pt>
                <c:pt idx="67">
                  <c:v>774.7752649999999</c:v>
                </c:pt>
                <c:pt idx="68">
                  <c:v>779.3714404999998</c:v>
                </c:pt>
                <c:pt idx="69">
                  <c:v>796.6618149999998</c:v>
                </c:pt>
                <c:pt idx="70">
                  <c:v>799.9447974999998</c:v>
                </c:pt>
                <c:pt idx="71">
                  <c:v>802.5711834999998</c:v>
                </c:pt>
                <c:pt idx="72">
                  <c:v>819.6426924999998</c:v>
                </c:pt>
                <c:pt idx="73">
                  <c:v>842.8424354999999</c:v>
                </c:pt>
                <c:pt idx="74">
                  <c:v>862.7591959999999</c:v>
                </c:pt>
                <c:pt idx="75">
                  <c:v>889.2419214999999</c:v>
                </c:pt>
                <c:pt idx="76">
                  <c:v>894.4946934999999</c:v>
                </c:pt>
                <c:pt idx="77">
                  <c:v>924.6981325</c:v>
                </c:pt>
                <c:pt idx="78">
                  <c:v>950.305396</c:v>
                </c:pt>
                <c:pt idx="79">
                  <c:v>976.569256</c:v>
                </c:pt>
                <c:pt idx="80">
                  <c:v>1021.831123</c:v>
                </c:pt>
                <c:pt idx="81">
                  <c:v>1038.4271409</c:v>
                </c:pt>
                <c:pt idx="82">
                  <c:v>1063.4289341</c:v>
                </c:pt>
                <c:pt idx="83">
                  <c:v>1084.5511387</c:v>
                </c:pt>
                <c:pt idx="84">
                  <c:v>1100.7160912</c:v>
                </c:pt>
                <c:pt idx="85">
                  <c:v>1153.9526681</c:v>
                </c:pt>
                <c:pt idx="86">
                  <c:v>1160.6341818</c:v>
                </c:pt>
                <c:pt idx="87">
                  <c:v>1170.1176206</c:v>
                </c:pt>
                <c:pt idx="88">
                  <c:v>1174.85934</c:v>
                </c:pt>
                <c:pt idx="89">
                  <c:v>1184.9893769</c:v>
                </c:pt>
                <c:pt idx="90">
                  <c:v>1188.3931751</c:v>
                </c:pt>
                <c:pt idx="91">
                  <c:v>1191.7969733</c:v>
                </c:pt>
                <c:pt idx="92">
                  <c:v>1196.7135707</c:v>
                </c:pt>
                <c:pt idx="93">
                  <c:v>1207.8704648</c:v>
                </c:pt>
                <c:pt idx="94">
                  <c:v>1216.5690602</c:v>
                </c:pt>
                <c:pt idx="95">
                  <c:v>1231.5079523</c:v>
                </c:pt>
                <c:pt idx="96">
                  <c:v>1247.5814438</c:v>
                </c:pt>
                <c:pt idx="97">
                  <c:v>1269.895232</c:v>
                </c:pt>
                <c:pt idx="98">
                  <c:v>1289.3725217</c:v>
                </c:pt>
                <c:pt idx="99">
                  <c:v>1315.4683079</c:v>
                </c:pt>
                <c:pt idx="100">
                  <c:v>1330.5962999</c:v>
                </c:pt>
                <c:pt idx="101">
                  <c:v>1368.7075219</c:v>
                </c:pt>
                <c:pt idx="102">
                  <c:v>1414.2550799</c:v>
                </c:pt>
                <c:pt idx="103">
                  <c:v>1462.7771723</c:v>
                </c:pt>
                <c:pt idx="104">
                  <c:v>1499.2152187</c:v>
                </c:pt>
                <c:pt idx="105">
                  <c:v>1519.2933259</c:v>
                </c:pt>
                <c:pt idx="106">
                  <c:v>1535.4669691</c:v>
                </c:pt>
                <c:pt idx="107">
                  <c:v>1542.2672509</c:v>
                </c:pt>
                <c:pt idx="108">
                  <c:v>1553.4785263</c:v>
                </c:pt>
                <c:pt idx="109">
                  <c:v>1587.6637267</c:v>
                </c:pt>
                <c:pt idx="110">
                  <c:v>1669.0833169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99339496"/>
        <c:axId val="-1999583224"/>
      </c:scatterChart>
      <c:valAx>
        <c:axId val="-1969196680"/>
        <c:scaling>
          <c:orientation val="minMax"/>
        </c:scaling>
        <c:delete val="0"/>
        <c:axPos val="b"/>
        <c:majorGridlines/>
        <c:numFmt formatCode="d\-mmm\-yy" sourceLinked="1"/>
        <c:majorTickMark val="out"/>
        <c:minorTickMark val="none"/>
        <c:tickLblPos val="nextTo"/>
        <c:txPr>
          <a:bodyPr rot="-1260000"/>
          <a:lstStyle/>
          <a:p>
            <a:pPr>
              <a:defRPr/>
            </a:pPr>
            <a:endParaRPr lang="en-US"/>
          </a:p>
        </c:txPr>
        <c:crossAx val="-2043991768"/>
        <c:crosses val="autoZero"/>
        <c:crossBetween val="midCat"/>
      </c:valAx>
      <c:valAx>
        <c:axId val="-2043991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969196680"/>
        <c:crosses val="autoZero"/>
        <c:crossBetween val="midCat"/>
      </c:valAx>
      <c:valAx>
        <c:axId val="-1999583224"/>
        <c:scaling>
          <c:orientation val="minMax"/>
        </c:scaling>
        <c:delete val="0"/>
        <c:axPos val="r"/>
        <c:numFmt formatCode="&quot;€&quot;\ #,##0.00" sourceLinked="1"/>
        <c:majorTickMark val="out"/>
        <c:minorTickMark val="none"/>
        <c:tickLblPos val="nextTo"/>
        <c:crossAx val="-1999339496"/>
        <c:crosses val="max"/>
        <c:crossBetween val="midCat"/>
      </c:valAx>
      <c:valAx>
        <c:axId val="-1999339496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one"/>
        <c:crossAx val="-19995832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1.0" l="0.750000000000003" r="0.750000000000003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Zonpaneel_FR20!$D$1</c:f>
              <c:strCache>
                <c:ptCount val="1"/>
                <c:pt idx="0">
                  <c:v>Kosten/kWh</c:v>
                </c:pt>
              </c:strCache>
            </c:strRef>
          </c:tx>
          <c:marker>
            <c:symbol val="diamond"/>
            <c:size val="6"/>
          </c:marker>
          <c:xVal>
            <c:numRef>
              <c:f>Zonpaneel_FR20!$A$2:$A$2000</c:f>
              <c:numCache>
                <c:formatCode>d\-mmm\-yy</c:formatCode>
                <c:ptCount val="1999"/>
                <c:pt idx="0">
                  <c:v>41342.0</c:v>
                </c:pt>
                <c:pt idx="1">
                  <c:v>41364.0</c:v>
                </c:pt>
                <c:pt idx="2">
                  <c:v>41370.0</c:v>
                </c:pt>
                <c:pt idx="3">
                  <c:v>41375.0</c:v>
                </c:pt>
                <c:pt idx="4">
                  <c:v>41399.0</c:v>
                </c:pt>
                <c:pt idx="5">
                  <c:v>41402.0</c:v>
                </c:pt>
                <c:pt idx="6">
                  <c:v>41405.0</c:v>
                </c:pt>
                <c:pt idx="7">
                  <c:v>41411.0</c:v>
                </c:pt>
                <c:pt idx="8">
                  <c:v>41420.0</c:v>
                </c:pt>
                <c:pt idx="9">
                  <c:v>41430.0</c:v>
                </c:pt>
                <c:pt idx="10">
                  <c:v>41468.0</c:v>
                </c:pt>
                <c:pt idx="11">
                  <c:v>41480.0</c:v>
                </c:pt>
                <c:pt idx="12">
                  <c:v>41494.0</c:v>
                </c:pt>
                <c:pt idx="13">
                  <c:v>41514.0</c:v>
                </c:pt>
                <c:pt idx="14">
                  <c:v>41526.0</c:v>
                </c:pt>
                <c:pt idx="15">
                  <c:v>41537.0</c:v>
                </c:pt>
                <c:pt idx="16">
                  <c:v>41547.0</c:v>
                </c:pt>
                <c:pt idx="17">
                  <c:v>41554.0</c:v>
                </c:pt>
                <c:pt idx="18">
                  <c:v>41578.0</c:v>
                </c:pt>
                <c:pt idx="19">
                  <c:v>41613.0</c:v>
                </c:pt>
                <c:pt idx="20">
                  <c:v>41620.0</c:v>
                </c:pt>
                <c:pt idx="21">
                  <c:v>41621.0</c:v>
                </c:pt>
                <c:pt idx="22">
                  <c:v>41648.0</c:v>
                </c:pt>
                <c:pt idx="23">
                  <c:v>41649.0</c:v>
                </c:pt>
                <c:pt idx="24">
                  <c:v>41659.0</c:v>
                </c:pt>
                <c:pt idx="25">
                  <c:v>41667.0</c:v>
                </c:pt>
                <c:pt idx="26">
                  <c:v>41671.0</c:v>
                </c:pt>
                <c:pt idx="27">
                  <c:v>41673.0</c:v>
                </c:pt>
                <c:pt idx="28">
                  <c:v>41681.0</c:v>
                </c:pt>
                <c:pt idx="29">
                  <c:v>41687.0</c:v>
                </c:pt>
                <c:pt idx="30">
                  <c:v>41693.0</c:v>
                </c:pt>
                <c:pt idx="31">
                  <c:v>41695.0</c:v>
                </c:pt>
                <c:pt idx="32">
                  <c:v>41699.0</c:v>
                </c:pt>
                <c:pt idx="33">
                  <c:v>41700.0</c:v>
                </c:pt>
                <c:pt idx="34">
                  <c:v>41703.0</c:v>
                </c:pt>
                <c:pt idx="35">
                  <c:v>41705.0</c:v>
                </c:pt>
                <c:pt idx="36">
                  <c:v>41710.0</c:v>
                </c:pt>
                <c:pt idx="37">
                  <c:v>41718.0</c:v>
                </c:pt>
                <c:pt idx="38">
                  <c:v>41723.0</c:v>
                </c:pt>
                <c:pt idx="39">
                  <c:v>41725.0</c:v>
                </c:pt>
                <c:pt idx="40">
                  <c:v>41732.0</c:v>
                </c:pt>
                <c:pt idx="41">
                  <c:v>41738.0</c:v>
                </c:pt>
                <c:pt idx="42">
                  <c:v>41748.0</c:v>
                </c:pt>
                <c:pt idx="43">
                  <c:v>41750.0</c:v>
                </c:pt>
                <c:pt idx="44">
                  <c:v>41760.0</c:v>
                </c:pt>
                <c:pt idx="45">
                  <c:v>41767.0</c:v>
                </c:pt>
                <c:pt idx="46">
                  <c:v>41773.0</c:v>
                </c:pt>
                <c:pt idx="47">
                  <c:v>41777.0</c:v>
                </c:pt>
                <c:pt idx="48">
                  <c:v>41782.0</c:v>
                </c:pt>
                <c:pt idx="49">
                  <c:v>41799.0</c:v>
                </c:pt>
                <c:pt idx="50">
                  <c:v>41808.0</c:v>
                </c:pt>
                <c:pt idx="51">
                  <c:v>41815.0</c:v>
                </c:pt>
                <c:pt idx="52">
                  <c:v>41830.0</c:v>
                </c:pt>
                <c:pt idx="53">
                  <c:v>41842.0</c:v>
                </c:pt>
                <c:pt idx="54">
                  <c:v>41846.0</c:v>
                </c:pt>
                <c:pt idx="55">
                  <c:v>41849.0</c:v>
                </c:pt>
                <c:pt idx="56">
                  <c:v>41854.0</c:v>
                </c:pt>
                <c:pt idx="57">
                  <c:v>41882.0</c:v>
                </c:pt>
                <c:pt idx="58">
                  <c:v>41885.0</c:v>
                </c:pt>
                <c:pt idx="59">
                  <c:v>41887.0</c:v>
                </c:pt>
                <c:pt idx="60">
                  <c:v>41893.0</c:v>
                </c:pt>
                <c:pt idx="61">
                  <c:v>41896.0</c:v>
                </c:pt>
                <c:pt idx="62">
                  <c:v>41897.0</c:v>
                </c:pt>
                <c:pt idx="63">
                  <c:v>41901.0</c:v>
                </c:pt>
                <c:pt idx="64">
                  <c:v>41904.0</c:v>
                </c:pt>
                <c:pt idx="65">
                  <c:v>41957.0</c:v>
                </c:pt>
                <c:pt idx="66">
                  <c:v>41978.0</c:v>
                </c:pt>
                <c:pt idx="67">
                  <c:v>42011.0</c:v>
                </c:pt>
                <c:pt idx="68">
                  <c:v>42033.0</c:v>
                </c:pt>
                <c:pt idx="69">
                  <c:v>42058.0</c:v>
                </c:pt>
                <c:pt idx="70">
                  <c:v>42062.0</c:v>
                </c:pt>
                <c:pt idx="71">
                  <c:v>42064.0</c:v>
                </c:pt>
                <c:pt idx="72">
                  <c:v>42078.0</c:v>
                </c:pt>
                <c:pt idx="73">
                  <c:v>42099.0</c:v>
                </c:pt>
                <c:pt idx="74">
                  <c:v>42109.0</c:v>
                </c:pt>
                <c:pt idx="75">
                  <c:v>42122.0</c:v>
                </c:pt>
                <c:pt idx="76">
                  <c:v>42125.0</c:v>
                </c:pt>
                <c:pt idx="77">
                  <c:v>42140.0</c:v>
                </c:pt>
                <c:pt idx="78">
                  <c:v>42156.0</c:v>
                </c:pt>
                <c:pt idx="79">
                  <c:v>42169.0</c:v>
                </c:pt>
                <c:pt idx="80">
                  <c:v>42193.0</c:v>
                </c:pt>
                <c:pt idx="81">
                  <c:v>42203.0</c:v>
                </c:pt>
                <c:pt idx="82">
                  <c:v>42219.0</c:v>
                </c:pt>
                <c:pt idx="83">
                  <c:v>42232.0</c:v>
                </c:pt>
                <c:pt idx="84">
                  <c:v>42245.0</c:v>
                </c:pt>
                <c:pt idx="85">
                  <c:v>42284.0</c:v>
                </c:pt>
                <c:pt idx="86">
                  <c:v>42294.0</c:v>
                </c:pt>
                <c:pt idx="87">
                  <c:v>42309.0</c:v>
                </c:pt>
                <c:pt idx="88">
                  <c:v>42322.0</c:v>
                </c:pt>
                <c:pt idx="89">
                  <c:v>42358.0</c:v>
                </c:pt>
                <c:pt idx="90">
                  <c:v>42371.0</c:v>
                </c:pt>
                <c:pt idx="91">
                  <c:v>42386.0</c:v>
                </c:pt>
                <c:pt idx="92">
                  <c:v>42403.0</c:v>
                </c:pt>
                <c:pt idx="93">
                  <c:v>42422.0</c:v>
                </c:pt>
                <c:pt idx="94">
                  <c:v>42430.0</c:v>
                </c:pt>
                <c:pt idx="95">
                  <c:v>42444.0</c:v>
                </c:pt>
                <c:pt idx="96">
                  <c:v>42461.0</c:v>
                </c:pt>
                <c:pt idx="97">
                  <c:v>42478.0</c:v>
                </c:pt>
                <c:pt idx="98">
                  <c:v>42493.0</c:v>
                </c:pt>
                <c:pt idx="99">
                  <c:v>42506.0</c:v>
                </c:pt>
                <c:pt idx="100">
                  <c:v>42522.0</c:v>
                </c:pt>
                <c:pt idx="101">
                  <c:v>42552.0</c:v>
                </c:pt>
                <c:pt idx="102">
                  <c:v>42585.0</c:v>
                </c:pt>
                <c:pt idx="103">
                  <c:v>42619.0</c:v>
                </c:pt>
                <c:pt idx="104">
                  <c:v>42644.0</c:v>
                </c:pt>
                <c:pt idx="105">
                  <c:v>42675.0</c:v>
                </c:pt>
                <c:pt idx="106">
                  <c:v>42746.0</c:v>
                </c:pt>
                <c:pt idx="107">
                  <c:v>42767.0</c:v>
                </c:pt>
                <c:pt idx="108">
                  <c:v>42795.0</c:v>
                </c:pt>
                <c:pt idx="109">
                  <c:v>42826.0</c:v>
                </c:pt>
                <c:pt idx="110">
                  <c:v>42887.0</c:v>
                </c:pt>
              </c:numCache>
            </c:numRef>
          </c:xVal>
          <c:yVal>
            <c:numRef>
              <c:f>Zonpaneel_FR20!$D$2:$D$2000</c:f>
              <c:numCache>
                <c:formatCode>General</c:formatCode>
                <c:ptCount val="1999"/>
                <c:pt idx="0">
                  <c:v>0.2257</c:v>
                </c:pt>
                <c:pt idx="1">
                  <c:v>0.2257</c:v>
                </c:pt>
                <c:pt idx="2">
                  <c:v>0.2257</c:v>
                </c:pt>
                <c:pt idx="3">
                  <c:v>0.2257</c:v>
                </c:pt>
                <c:pt idx="4">
                  <c:v>0.2257</c:v>
                </c:pt>
                <c:pt idx="5">
                  <c:v>0.2257</c:v>
                </c:pt>
                <c:pt idx="6">
                  <c:v>0.2257</c:v>
                </c:pt>
                <c:pt idx="7">
                  <c:v>0.2257</c:v>
                </c:pt>
                <c:pt idx="8">
                  <c:v>0.2257</c:v>
                </c:pt>
                <c:pt idx="9">
                  <c:v>0.2257</c:v>
                </c:pt>
                <c:pt idx="10">
                  <c:v>0.2244</c:v>
                </c:pt>
                <c:pt idx="11">
                  <c:v>0.2244</c:v>
                </c:pt>
                <c:pt idx="12">
                  <c:v>0.2244</c:v>
                </c:pt>
                <c:pt idx="13">
                  <c:v>0.2244</c:v>
                </c:pt>
                <c:pt idx="14">
                  <c:v>0.2244</c:v>
                </c:pt>
                <c:pt idx="15">
                  <c:v>0.2244</c:v>
                </c:pt>
                <c:pt idx="16">
                  <c:v>0.2244</c:v>
                </c:pt>
                <c:pt idx="17">
                  <c:v>0.2244</c:v>
                </c:pt>
                <c:pt idx="18">
                  <c:v>0.2244</c:v>
                </c:pt>
                <c:pt idx="19">
                  <c:v>0.2244</c:v>
                </c:pt>
                <c:pt idx="20">
                  <c:v>0.2244</c:v>
                </c:pt>
                <c:pt idx="21">
                  <c:v>0.2244</c:v>
                </c:pt>
                <c:pt idx="22">
                  <c:v>0.2272</c:v>
                </c:pt>
                <c:pt idx="23">
                  <c:v>0.2272</c:v>
                </c:pt>
                <c:pt idx="24">
                  <c:v>0.2272</c:v>
                </c:pt>
                <c:pt idx="25">
                  <c:v>0.2272</c:v>
                </c:pt>
                <c:pt idx="26">
                  <c:v>0.2272</c:v>
                </c:pt>
                <c:pt idx="27">
                  <c:v>0.2272</c:v>
                </c:pt>
                <c:pt idx="28">
                  <c:v>0.2272</c:v>
                </c:pt>
                <c:pt idx="29">
                  <c:v>0.2272</c:v>
                </c:pt>
                <c:pt idx="30">
                  <c:v>0.2272</c:v>
                </c:pt>
                <c:pt idx="31">
                  <c:v>0.2272</c:v>
                </c:pt>
                <c:pt idx="32">
                  <c:v>0.2272</c:v>
                </c:pt>
                <c:pt idx="33">
                  <c:v>0.2272</c:v>
                </c:pt>
                <c:pt idx="34">
                  <c:v>0.2272</c:v>
                </c:pt>
                <c:pt idx="35">
                  <c:v>0.2272</c:v>
                </c:pt>
                <c:pt idx="36">
                  <c:v>0.2272</c:v>
                </c:pt>
                <c:pt idx="37">
                  <c:v>0.2272</c:v>
                </c:pt>
                <c:pt idx="38">
                  <c:v>0.2272</c:v>
                </c:pt>
                <c:pt idx="39">
                  <c:v>0.2272</c:v>
                </c:pt>
                <c:pt idx="40">
                  <c:v>0.2272</c:v>
                </c:pt>
                <c:pt idx="41">
                  <c:v>0.2272</c:v>
                </c:pt>
                <c:pt idx="42">
                  <c:v>0.2272</c:v>
                </c:pt>
                <c:pt idx="43">
                  <c:v>0.2272</c:v>
                </c:pt>
                <c:pt idx="44">
                  <c:v>0.2272</c:v>
                </c:pt>
                <c:pt idx="45">
                  <c:v>0.2272</c:v>
                </c:pt>
                <c:pt idx="46">
                  <c:v>0.2272</c:v>
                </c:pt>
                <c:pt idx="47">
                  <c:v>0.2272</c:v>
                </c:pt>
                <c:pt idx="48">
                  <c:v>0.2272</c:v>
                </c:pt>
                <c:pt idx="49">
                  <c:v>0.2272</c:v>
                </c:pt>
                <c:pt idx="50">
                  <c:v>0.2272</c:v>
                </c:pt>
                <c:pt idx="51">
                  <c:v>0.2272</c:v>
                </c:pt>
                <c:pt idx="52">
                  <c:v>0.2234</c:v>
                </c:pt>
                <c:pt idx="53">
                  <c:v>0.2234</c:v>
                </c:pt>
                <c:pt idx="54">
                  <c:v>0.2234</c:v>
                </c:pt>
                <c:pt idx="55">
                  <c:v>0.2234</c:v>
                </c:pt>
                <c:pt idx="56">
                  <c:v>0.2234</c:v>
                </c:pt>
                <c:pt idx="57">
                  <c:v>0.2234</c:v>
                </c:pt>
                <c:pt idx="58">
                  <c:v>0.2234</c:v>
                </c:pt>
                <c:pt idx="59">
                  <c:v>0.2234</c:v>
                </c:pt>
                <c:pt idx="60">
                  <c:v>0.2234</c:v>
                </c:pt>
                <c:pt idx="61">
                  <c:v>0.2234</c:v>
                </c:pt>
                <c:pt idx="62">
                  <c:v>0.2234</c:v>
                </c:pt>
                <c:pt idx="63">
                  <c:v>0.2234</c:v>
                </c:pt>
                <c:pt idx="64">
                  <c:v>0.2234</c:v>
                </c:pt>
                <c:pt idx="65">
                  <c:v>0.2234</c:v>
                </c:pt>
                <c:pt idx="66">
                  <c:v>0.2234</c:v>
                </c:pt>
                <c:pt idx="67">
                  <c:v>0.2188655</c:v>
                </c:pt>
                <c:pt idx="68">
                  <c:v>0.2188655</c:v>
                </c:pt>
                <c:pt idx="69">
                  <c:v>0.2188655</c:v>
                </c:pt>
                <c:pt idx="70">
                  <c:v>0.2188655</c:v>
                </c:pt>
                <c:pt idx="71">
                  <c:v>0.2188655</c:v>
                </c:pt>
                <c:pt idx="72">
                  <c:v>0.2188655</c:v>
                </c:pt>
                <c:pt idx="73">
                  <c:v>0.2188655</c:v>
                </c:pt>
                <c:pt idx="74">
                  <c:v>0.2188655</c:v>
                </c:pt>
                <c:pt idx="75">
                  <c:v>0.2188655</c:v>
                </c:pt>
                <c:pt idx="76">
                  <c:v>0.2188655</c:v>
                </c:pt>
                <c:pt idx="77">
                  <c:v>0.2188655</c:v>
                </c:pt>
                <c:pt idx="78">
                  <c:v>0.2188655</c:v>
                </c:pt>
                <c:pt idx="79">
                  <c:v>0.2188655</c:v>
                </c:pt>
                <c:pt idx="80">
                  <c:v>0.2155327</c:v>
                </c:pt>
                <c:pt idx="81">
                  <c:v>0.2155327</c:v>
                </c:pt>
                <c:pt idx="82">
                  <c:v>0.2155327</c:v>
                </c:pt>
                <c:pt idx="83">
                  <c:v>0.2155327</c:v>
                </c:pt>
                <c:pt idx="84">
                  <c:v>0.2155327</c:v>
                </c:pt>
                <c:pt idx="85">
                  <c:v>0.2155327</c:v>
                </c:pt>
                <c:pt idx="86">
                  <c:v>0.2155327</c:v>
                </c:pt>
                <c:pt idx="87">
                  <c:v>0.2155327</c:v>
                </c:pt>
                <c:pt idx="88">
                  <c:v>0.2155327</c:v>
                </c:pt>
                <c:pt idx="89">
                  <c:v>0.2155327</c:v>
                </c:pt>
                <c:pt idx="90">
                  <c:v>0.1890999</c:v>
                </c:pt>
                <c:pt idx="91">
                  <c:v>0.1890999</c:v>
                </c:pt>
                <c:pt idx="92">
                  <c:v>0.1890999</c:v>
                </c:pt>
                <c:pt idx="93">
                  <c:v>0.1890999</c:v>
                </c:pt>
                <c:pt idx="94">
                  <c:v>0.1890999</c:v>
                </c:pt>
                <c:pt idx="95">
                  <c:v>0.1890999</c:v>
                </c:pt>
                <c:pt idx="96">
                  <c:v>0.1890999</c:v>
                </c:pt>
                <c:pt idx="97">
                  <c:v>0.1890999</c:v>
                </c:pt>
                <c:pt idx="98">
                  <c:v>0.1890999</c:v>
                </c:pt>
                <c:pt idx="99">
                  <c:v>0.1890999</c:v>
                </c:pt>
                <c:pt idx="100">
                  <c:v>0.1890999</c:v>
                </c:pt>
                <c:pt idx="101">
                  <c:v>0.1859084</c:v>
                </c:pt>
                <c:pt idx="102">
                  <c:v>0.1859084</c:v>
                </c:pt>
                <c:pt idx="103">
                  <c:v>0.1859084</c:v>
                </c:pt>
                <c:pt idx="104">
                  <c:v>0.1859084</c:v>
                </c:pt>
                <c:pt idx="105">
                  <c:v>0.1859084</c:v>
                </c:pt>
                <c:pt idx="106">
                  <c:v>0.1837914</c:v>
                </c:pt>
                <c:pt idx="107">
                  <c:v>0.1837914</c:v>
                </c:pt>
                <c:pt idx="108">
                  <c:v>0.1837914</c:v>
                </c:pt>
                <c:pt idx="109">
                  <c:v>0.1837914</c:v>
                </c:pt>
                <c:pt idx="110">
                  <c:v>0.1837914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4436648"/>
        <c:axId val="1864439736"/>
      </c:scatterChart>
      <c:scatterChart>
        <c:scatterStyle val="smoothMarker"/>
        <c:varyColors val="0"/>
        <c:ser>
          <c:idx val="1"/>
          <c:order val="1"/>
          <c:tx>
            <c:strRef>
              <c:f>Zonpaneel_FR20!$E$1</c:f>
              <c:strCache>
                <c:ptCount val="1"/>
                <c:pt idx="0">
                  <c:v>Losten/kWh % Mrt13</c:v>
                </c:pt>
              </c:strCache>
            </c:strRef>
          </c:tx>
          <c:marker>
            <c:symbol val="none"/>
          </c:marker>
          <c:xVal>
            <c:numRef>
              <c:f>Zonpaneel_FR20!$A$2:$A$2000</c:f>
              <c:numCache>
                <c:formatCode>d\-mmm\-yy</c:formatCode>
                <c:ptCount val="1999"/>
                <c:pt idx="0">
                  <c:v>41342.0</c:v>
                </c:pt>
                <c:pt idx="1">
                  <c:v>41364.0</c:v>
                </c:pt>
                <c:pt idx="2">
                  <c:v>41370.0</c:v>
                </c:pt>
                <c:pt idx="3">
                  <c:v>41375.0</c:v>
                </c:pt>
                <c:pt idx="4">
                  <c:v>41399.0</c:v>
                </c:pt>
                <c:pt idx="5">
                  <c:v>41402.0</c:v>
                </c:pt>
                <c:pt idx="6">
                  <c:v>41405.0</c:v>
                </c:pt>
                <c:pt idx="7">
                  <c:v>41411.0</c:v>
                </c:pt>
                <c:pt idx="8">
                  <c:v>41420.0</c:v>
                </c:pt>
                <c:pt idx="9">
                  <c:v>41430.0</c:v>
                </c:pt>
                <c:pt idx="10">
                  <c:v>41468.0</c:v>
                </c:pt>
                <c:pt idx="11">
                  <c:v>41480.0</c:v>
                </c:pt>
                <c:pt idx="12">
                  <c:v>41494.0</c:v>
                </c:pt>
                <c:pt idx="13">
                  <c:v>41514.0</c:v>
                </c:pt>
                <c:pt idx="14">
                  <c:v>41526.0</c:v>
                </c:pt>
                <c:pt idx="15">
                  <c:v>41537.0</c:v>
                </c:pt>
                <c:pt idx="16">
                  <c:v>41547.0</c:v>
                </c:pt>
                <c:pt idx="17">
                  <c:v>41554.0</c:v>
                </c:pt>
                <c:pt idx="18">
                  <c:v>41578.0</c:v>
                </c:pt>
                <c:pt idx="19">
                  <c:v>41613.0</c:v>
                </c:pt>
                <c:pt idx="20">
                  <c:v>41620.0</c:v>
                </c:pt>
                <c:pt idx="21">
                  <c:v>41621.0</c:v>
                </c:pt>
                <c:pt idx="22">
                  <c:v>41648.0</c:v>
                </c:pt>
                <c:pt idx="23">
                  <c:v>41649.0</c:v>
                </c:pt>
                <c:pt idx="24">
                  <c:v>41659.0</c:v>
                </c:pt>
                <c:pt idx="25">
                  <c:v>41667.0</c:v>
                </c:pt>
                <c:pt idx="26">
                  <c:v>41671.0</c:v>
                </c:pt>
                <c:pt idx="27">
                  <c:v>41673.0</c:v>
                </c:pt>
                <c:pt idx="28">
                  <c:v>41681.0</c:v>
                </c:pt>
                <c:pt idx="29">
                  <c:v>41687.0</c:v>
                </c:pt>
                <c:pt idx="30">
                  <c:v>41693.0</c:v>
                </c:pt>
                <c:pt idx="31">
                  <c:v>41695.0</c:v>
                </c:pt>
                <c:pt idx="32">
                  <c:v>41699.0</c:v>
                </c:pt>
                <c:pt idx="33">
                  <c:v>41700.0</c:v>
                </c:pt>
                <c:pt idx="34">
                  <c:v>41703.0</c:v>
                </c:pt>
                <c:pt idx="35">
                  <c:v>41705.0</c:v>
                </c:pt>
                <c:pt idx="36">
                  <c:v>41710.0</c:v>
                </c:pt>
                <c:pt idx="37">
                  <c:v>41718.0</c:v>
                </c:pt>
                <c:pt idx="38">
                  <c:v>41723.0</c:v>
                </c:pt>
                <c:pt idx="39">
                  <c:v>41725.0</c:v>
                </c:pt>
                <c:pt idx="40">
                  <c:v>41732.0</c:v>
                </c:pt>
                <c:pt idx="41">
                  <c:v>41738.0</c:v>
                </c:pt>
                <c:pt idx="42">
                  <c:v>41748.0</c:v>
                </c:pt>
                <c:pt idx="43">
                  <c:v>41750.0</c:v>
                </c:pt>
                <c:pt idx="44">
                  <c:v>41760.0</c:v>
                </c:pt>
                <c:pt idx="45">
                  <c:v>41767.0</c:v>
                </c:pt>
                <c:pt idx="46">
                  <c:v>41773.0</c:v>
                </c:pt>
                <c:pt idx="47">
                  <c:v>41777.0</c:v>
                </c:pt>
                <c:pt idx="48">
                  <c:v>41782.0</c:v>
                </c:pt>
                <c:pt idx="49">
                  <c:v>41799.0</c:v>
                </c:pt>
                <c:pt idx="50">
                  <c:v>41808.0</c:v>
                </c:pt>
                <c:pt idx="51">
                  <c:v>41815.0</c:v>
                </c:pt>
                <c:pt idx="52">
                  <c:v>41830.0</c:v>
                </c:pt>
                <c:pt idx="53">
                  <c:v>41842.0</c:v>
                </c:pt>
                <c:pt idx="54">
                  <c:v>41846.0</c:v>
                </c:pt>
                <c:pt idx="55">
                  <c:v>41849.0</c:v>
                </c:pt>
                <c:pt idx="56">
                  <c:v>41854.0</c:v>
                </c:pt>
                <c:pt idx="57">
                  <c:v>41882.0</c:v>
                </c:pt>
                <c:pt idx="58">
                  <c:v>41885.0</c:v>
                </c:pt>
                <c:pt idx="59">
                  <c:v>41887.0</c:v>
                </c:pt>
                <c:pt idx="60">
                  <c:v>41893.0</c:v>
                </c:pt>
                <c:pt idx="61">
                  <c:v>41896.0</c:v>
                </c:pt>
                <c:pt idx="62">
                  <c:v>41897.0</c:v>
                </c:pt>
                <c:pt idx="63">
                  <c:v>41901.0</c:v>
                </c:pt>
                <c:pt idx="64">
                  <c:v>41904.0</c:v>
                </c:pt>
                <c:pt idx="65">
                  <c:v>41957.0</c:v>
                </c:pt>
                <c:pt idx="66">
                  <c:v>41978.0</c:v>
                </c:pt>
                <c:pt idx="67">
                  <c:v>42011.0</c:v>
                </c:pt>
                <c:pt idx="68">
                  <c:v>42033.0</c:v>
                </c:pt>
                <c:pt idx="69">
                  <c:v>42058.0</c:v>
                </c:pt>
                <c:pt idx="70">
                  <c:v>42062.0</c:v>
                </c:pt>
                <c:pt idx="71">
                  <c:v>42064.0</c:v>
                </c:pt>
                <c:pt idx="72">
                  <c:v>42078.0</c:v>
                </c:pt>
                <c:pt idx="73">
                  <c:v>42099.0</c:v>
                </c:pt>
                <c:pt idx="74">
                  <c:v>42109.0</c:v>
                </c:pt>
                <c:pt idx="75">
                  <c:v>42122.0</c:v>
                </c:pt>
                <c:pt idx="76">
                  <c:v>42125.0</c:v>
                </c:pt>
                <c:pt idx="77">
                  <c:v>42140.0</c:v>
                </c:pt>
                <c:pt idx="78">
                  <c:v>42156.0</c:v>
                </c:pt>
                <c:pt idx="79">
                  <c:v>42169.0</c:v>
                </c:pt>
                <c:pt idx="80">
                  <c:v>42193.0</c:v>
                </c:pt>
                <c:pt idx="81">
                  <c:v>42203.0</c:v>
                </c:pt>
                <c:pt idx="82">
                  <c:v>42219.0</c:v>
                </c:pt>
                <c:pt idx="83">
                  <c:v>42232.0</c:v>
                </c:pt>
                <c:pt idx="84">
                  <c:v>42245.0</c:v>
                </c:pt>
                <c:pt idx="85">
                  <c:v>42284.0</c:v>
                </c:pt>
                <c:pt idx="86">
                  <c:v>42294.0</c:v>
                </c:pt>
                <c:pt idx="87">
                  <c:v>42309.0</c:v>
                </c:pt>
                <c:pt idx="88">
                  <c:v>42322.0</c:v>
                </c:pt>
                <c:pt idx="89">
                  <c:v>42358.0</c:v>
                </c:pt>
                <c:pt idx="90">
                  <c:v>42371.0</c:v>
                </c:pt>
                <c:pt idx="91">
                  <c:v>42386.0</c:v>
                </c:pt>
                <c:pt idx="92">
                  <c:v>42403.0</c:v>
                </c:pt>
                <c:pt idx="93">
                  <c:v>42422.0</c:v>
                </c:pt>
                <c:pt idx="94">
                  <c:v>42430.0</c:v>
                </c:pt>
                <c:pt idx="95">
                  <c:v>42444.0</c:v>
                </c:pt>
                <c:pt idx="96">
                  <c:v>42461.0</c:v>
                </c:pt>
                <c:pt idx="97">
                  <c:v>42478.0</c:v>
                </c:pt>
                <c:pt idx="98">
                  <c:v>42493.0</c:v>
                </c:pt>
                <c:pt idx="99">
                  <c:v>42506.0</c:v>
                </c:pt>
                <c:pt idx="100">
                  <c:v>42522.0</c:v>
                </c:pt>
                <c:pt idx="101">
                  <c:v>42552.0</c:v>
                </c:pt>
                <c:pt idx="102">
                  <c:v>42585.0</c:v>
                </c:pt>
                <c:pt idx="103">
                  <c:v>42619.0</c:v>
                </c:pt>
                <c:pt idx="104">
                  <c:v>42644.0</c:v>
                </c:pt>
                <c:pt idx="105">
                  <c:v>42675.0</c:v>
                </c:pt>
                <c:pt idx="106">
                  <c:v>42746.0</c:v>
                </c:pt>
                <c:pt idx="107">
                  <c:v>42767.0</c:v>
                </c:pt>
                <c:pt idx="108">
                  <c:v>42795.0</c:v>
                </c:pt>
                <c:pt idx="109">
                  <c:v>42826.0</c:v>
                </c:pt>
                <c:pt idx="110">
                  <c:v>42887.0</c:v>
                </c:pt>
              </c:numCache>
            </c:numRef>
          </c:xVal>
          <c:yVal>
            <c:numRef>
              <c:f>Zonpaneel_FR20!$E$2:$E$2000</c:f>
              <c:numCache>
                <c:formatCode>0.0%</c:formatCode>
                <c:ptCount val="1999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  <c:pt idx="10">
                  <c:v>0.994240141781125</c:v>
                </c:pt>
                <c:pt idx="11">
                  <c:v>0.994240141781125</c:v>
                </c:pt>
                <c:pt idx="12">
                  <c:v>0.994240141781125</c:v>
                </c:pt>
                <c:pt idx="13">
                  <c:v>0.994240141781125</c:v>
                </c:pt>
                <c:pt idx="14">
                  <c:v>0.994240141781125</c:v>
                </c:pt>
                <c:pt idx="15">
                  <c:v>0.994240141781125</c:v>
                </c:pt>
                <c:pt idx="16">
                  <c:v>0.994240141781125</c:v>
                </c:pt>
                <c:pt idx="17">
                  <c:v>0.994240141781125</c:v>
                </c:pt>
                <c:pt idx="18">
                  <c:v>0.994240141781125</c:v>
                </c:pt>
                <c:pt idx="19">
                  <c:v>0.994240141781125</c:v>
                </c:pt>
                <c:pt idx="20">
                  <c:v>0.994240141781125</c:v>
                </c:pt>
                <c:pt idx="21">
                  <c:v>0.994240141781125</c:v>
                </c:pt>
                <c:pt idx="22">
                  <c:v>1.006645990252548</c:v>
                </c:pt>
                <c:pt idx="23">
                  <c:v>1.006645990252548</c:v>
                </c:pt>
                <c:pt idx="24">
                  <c:v>1.006645990252548</c:v>
                </c:pt>
                <c:pt idx="25">
                  <c:v>1.006645990252548</c:v>
                </c:pt>
                <c:pt idx="26">
                  <c:v>1.006645990252548</c:v>
                </c:pt>
                <c:pt idx="27">
                  <c:v>1.006645990252548</c:v>
                </c:pt>
                <c:pt idx="28">
                  <c:v>1.006645990252548</c:v>
                </c:pt>
                <c:pt idx="29">
                  <c:v>1.006645990252548</c:v>
                </c:pt>
                <c:pt idx="30">
                  <c:v>1.006645990252548</c:v>
                </c:pt>
                <c:pt idx="31">
                  <c:v>1.006645990252548</c:v>
                </c:pt>
                <c:pt idx="32">
                  <c:v>1.006645990252548</c:v>
                </c:pt>
                <c:pt idx="33">
                  <c:v>1.006645990252548</c:v>
                </c:pt>
                <c:pt idx="34">
                  <c:v>1.006645990252548</c:v>
                </c:pt>
                <c:pt idx="35">
                  <c:v>1.006645990252548</c:v>
                </c:pt>
                <c:pt idx="36">
                  <c:v>1.006645990252548</c:v>
                </c:pt>
                <c:pt idx="37">
                  <c:v>1.006645990252548</c:v>
                </c:pt>
                <c:pt idx="38">
                  <c:v>1.006645990252548</c:v>
                </c:pt>
                <c:pt idx="39">
                  <c:v>1.006645990252548</c:v>
                </c:pt>
                <c:pt idx="40">
                  <c:v>1.006645990252548</c:v>
                </c:pt>
                <c:pt idx="41">
                  <c:v>1.006645990252548</c:v>
                </c:pt>
                <c:pt idx="42">
                  <c:v>1.006645990252548</c:v>
                </c:pt>
                <c:pt idx="43">
                  <c:v>1.006645990252548</c:v>
                </c:pt>
                <c:pt idx="44">
                  <c:v>1.006645990252548</c:v>
                </c:pt>
                <c:pt idx="45">
                  <c:v>1.006645990252548</c:v>
                </c:pt>
                <c:pt idx="46">
                  <c:v>1.006645990252548</c:v>
                </c:pt>
                <c:pt idx="47">
                  <c:v>1.006645990252548</c:v>
                </c:pt>
                <c:pt idx="48">
                  <c:v>1.006645990252548</c:v>
                </c:pt>
                <c:pt idx="49">
                  <c:v>1.006645990252548</c:v>
                </c:pt>
                <c:pt idx="50">
                  <c:v>1.006645990252548</c:v>
                </c:pt>
                <c:pt idx="51">
                  <c:v>1.006645990252548</c:v>
                </c:pt>
                <c:pt idx="52">
                  <c:v>0.98980948161276</c:v>
                </c:pt>
                <c:pt idx="53">
                  <c:v>0.98980948161276</c:v>
                </c:pt>
                <c:pt idx="54">
                  <c:v>0.98980948161276</c:v>
                </c:pt>
                <c:pt idx="55">
                  <c:v>0.98980948161276</c:v>
                </c:pt>
                <c:pt idx="56">
                  <c:v>0.98980948161276</c:v>
                </c:pt>
                <c:pt idx="57">
                  <c:v>0.98980948161276</c:v>
                </c:pt>
                <c:pt idx="58">
                  <c:v>0.98980948161276</c:v>
                </c:pt>
                <c:pt idx="59">
                  <c:v>0.98980948161276</c:v>
                </c:pt>
                <c:pt idx="60">
                  <c:v>0.98980948161276</c:v>
                </c:pt>
                <c:pt idx="61">
                  <c:v>0.98980948161276</c:v>
                </c:pt>
                <c:pt idx="62">
                  <c:v>0.98980948161276</c:v>
                </c:pt>
                <c:pt idx="63">
                  <c:v>0.98980948161276</c:v>
                </c:pt>
                <c:pt idx="64">
                  <c:v>0.98980948161276</c:v>
                </c:pt>
                <c:pt idx="65">
                  <c:v>0.98980948161276</c:v>
                </c:pt>
                <c:pt idx="66">
                  <c:v>0.98980948161276</c:v>
                </c:pt>
                <c:pt idx="67">
                  <c:v>0.969718653079309</c:v>
                </c:pt>
                <c:pt idx="68">
                  <c:v>0.969718653079309</c:v>
                </c:pt>
                <c:pt idx="69">
                  <c:v>0.969718653079309</c:v>
                </c:pt>
                <c:pt idx="70">
                  <c:v>0.969718653079309</c:v>
                </c:pt>
                <c:pt idx="71">
                  <c:v>0.969718653079309</c:v>
                </c:pt>
                <c:pt idx="72">
                  <c:v>0.969718653079309</c:v>
                </c:pt>
                <c:pt idx="73">
                  <c:v>0.969718653079309</c:v>
                </c:pt>
                <c:pt idx="74">
                  <c:v>0.969718653079309</c:v>
                </c:pt>
                <c:pt idx="75">
                  <c:v>0.969718653079309</c:v>
                </c:pt>
                <c:pt idx="76">
                  <c:v>0.969718653079309</c:v>
                </c:pt>
                <c:pt idx="77">
                  <c:v>0.969718653079309</c:v>
                </c:pt>
                <c:pt idx="78">
                  <c:v>0.969718653079309</c:v>
                </c:pt>
                <c:pt idx="79">
                  <c:v>0.969718653079309</c:v>
                </c:pt>
                <c:pt idx="80">
                  <c:v>0.954952148870181</c:v>
                </c:pt>
                <c:pt idx="81">
                  <c:v>0.954952148870181</c:v>
                </c:pt>
                <c:pt idx="82">
                  <c:v>0.954952148870181</c:v>
                </c:pt>
                <c:pt idx="83">
                  <c:v>0.954952148870181</c:v>
                </c:pt>
                <c:pt idx="84">
                  <c:v>0.954952148870181</c:v>
                </c:pt>
                <c:pt idx="85">
                  <c:v>0.954952148870181</c:v>
                </c:pt>
                <c:pt idx="86">
                  <c:v>0.954952148870181</c:v>
                </c:pt>
                <c:pt idx="87">
                  <c:v>0.954952148870181</c:v>
                </c:pt>
                <c:pt idx="88">
                  <c:v>0.954952148870181</c:v>
                </c:pt>
                <c:pt idx="89">
                  <c:v>0.954952148870181</c:v>
                </c:pt>
                <c:pt idx="90">
                  <c:v>0.837837394771821</c:v>
                </c:pt>
                <c:pt idx="91">
                  <c:v>0.837837394771821</c:v>
                </c:pt>
                <c:pt idx="92">
                  <c:v>0.837837394771821</c:v>
                </c:pt>
                <c:pt idx="93">
                  <c:v>0.837837394771821</c:v>
                </c:pt>
                <c:pt idx="94">
                  <c:v>0.837837394771821</c:v>
                </c:pt>
                <c:pt idx="95">
                  <c:v>0.837837394771821</c:v>
                </c:pt>
                <c:pt idx="96">
                  <c:v>0.837837394771821</c:v>
                </c:pt>
                <c:pt idx="97">
                  <c:v>0.837837394771821</c:v>
                </c:pt>
                <c:pt idx="98">
                  <c:v>0.837837394771821</c:v>
                </c:pt>
                <c:pt idx="99">
                  <c:v>0.837837394771821</c:v>
                </c:pt>
                <c:pt idx="100">
                  <c:v>0.837837394771821</c:v>
                </c:pt>
                <c:pt idx="101">
                  <c:v>0.823696942844484</c:v>
                </c:pt>
                <c:pt idx="102">
                  <c:v>0.823696942844484</c:v>
                </c:pt>
                <c:pt idx="103">
                  <c:v>0.823696942844484</c:v>
                </c:pt>
                <c:pt idx="104">
                  <c:v>0.823696942844484</c:v>
                </c:pt>
                <c:pt idx="105">
                  <c:v>0.823696942844484</c:v>
                </c:pt>
                <c:pt idx="106">
                  <c:v>0.814317235268055</c:v>
                </c:pt>
                <c:pt idx="107">
                  <c:v>0.814317235268055</c:v>
                </c:pt>
                <c:pt idx="108">
                  <c:v>0.814317235268055</c:v>
                </c:pt>
                <c:pt idx="109">
                  <c:v>0.814317235268055</c:v>
                </c:pt>
                <c:pt idx="110">
                  <c:v>0.814317235268055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4446072"/>
        <c:axId val="1864442776"/>
      </c:scatterChart>
      <c:valAx>
        <c:axId val="1864436648"/>
        <c:scaling>
          <c:orientation val="minMax"/>
          <c:min val="41275.0"/>
        </c:scaling>
        <c:delete val="0"/>
        <c:axPos val="b"/>
        <c:majorGridlines/>
        <c:numFmt formatCode="d\-mmm\-yy" sourceLinked="1"/>
        <c:majorTickMark val="out"/>
        <c:minorTickMark val="none"/>
        <c:tickLblPos val="nextTo"/>
        <c:txPr>
          <a:bodyPr rot="-1260000"/>
          <a:lstStyle/>
          <a:p>
            <a:pPr>
              <a:defRPr/>
            </a:pPr>
            <a:endParaRPr lang="en-US"/>
          </a:p>
        </c:txPr>
        <c:crossAx val="1864439736"/>
        <c:crosses val="autoZero"/>
        <c:crossBetween val="midCat"/>
        <c:majorUnit val="365.0"/>
      </c:valAx>
      <c:valAx>
        <c:axId val="1864439736"/>
        <c:scaling>
          <c:orientation val="minMax"/>
          <c:min val="0.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4436648"/>
        <c:crosses val="autoZero"/>
        <c:crossBetween val="midCat"/>
      </c:valAx>
      <c:valAx>
        <c:axId val="186444277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1864446072"/>
        <c:crosses val="max"/>
        <c:crossBetween val="midCat"/>
      </c:valAx>
      <c:valAx>
        <c:axId val="1864446072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one"/>
        <c:crossAx val="18644427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1.0" l="0.750000000000004" r="0.750000000000004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ZonPaneel_APS500!$B$1</c:f>
              <c:strCache>
                <c:ptCount val="1"/>
                <c:pt idx="0">
                  <c:v>kWh -stand</c:v>
                </c:pt>
              </c:strCache>
            </c:strRef>
          </c:tx>
          <c:marker>
            <c:symbol val="diamond"/>
            <c:size val="6"/>
          </c:marker>
          <c:xVal>
            <c:numRef>
              <c:f>ZonPaneel_APS500!$A$2:$A$2000</c:f>
              <c:numCache>
                <c:formatCode>d\-mmm\-yy</c:formatCode>
                <c:ptCount val="1999"/>
                <c:pt idx="0">
                  <c:v>41851.0</c:v>
                </c:pt>
                <c:pt idx="1">
                  <c:v>41854.0</c:v>
                </c:pt>
                <c:pt idx="2">
                  <c:v>41881.0</c:v>
                </c:pt>
                <c:pt idx="3">
                  <c:v>41883.0</c:v>
                </c:pt>
                <c:pt idx="4">
                  <c:v>41885.0</c:v>
                </c:pt>
                <c:pt idx="5">
                  <c:v>41887.0</c:v>
                </c:pt>
                <c:pt idx="6">
                  <c:v>41890.0</c:v>
                </c:pt>
                <c:pt idx="7">
                  <c:v>41893.0</c:v>
                </c:pt>
                <c:pt idx="8">
                  <c:v>41897.0</c:v>
                </c:pt>
                <c:pt idx="9">
                  <c:v>41904.0</c:v>
                </c:pt>
                <c:pt idx="10">
                  <c:v>41940.0</c:v>
                </c:pt>
                <c:pt idx="11">
                  <c:v>41957.0</c:v>
                </c:pt>
                <c:pt idx="12">
                  <c:v>41978.0</c:v>
                </c:pt>
                <c:pt idx="13">
                  <c:v>42011.0</c:v>
                </c:pt>
                <c:pt idx="14">
                  <c:v>42033.0</c:v>
                </c:pt>
                <c:pt idx="15">
                  <c:v>42058.0</c:v>
                </c:pt>
                <c:pt idx="16">
                  <c:v>42062.0</c:v>
                </c:pt>
                <c:pt idx="17">
                  <c:v>42064.0</c:v>
                </c:pt>
                <c:pt idx="18">
                  <c:v>42078.0</c:v>
                </c:pt>
                <c:pt idx="19">
                  <c:v>42099.0</c:v>
                </c:pt>
                <c:pt idx="20">
                  <c:v>42109.0</c:v>
                </c:pt>
                <c:pt idx="21">
                  <c:v>42122.0</c:v>
                </c:pt>
                <c:pt idx="22">
                  <c:v>42125.0</c:v>
                </c:pt>
                <c:pt idx="23">
                  <c:v>42140.0</c:v>
                </c:pt>
                <c:pt idx="24">
                  <c:v>42156.0</c:v>
                </c:pt>
                <c:pt idx="25">
                  <c:v>42169.0</c:v>
                </c:pt>
                <c:pt idx="26">
                  <c:v>42193.0</c:v>
                </c:pt>
                <c:pt idx="27">
                  <c:v>42203.0</c:v>
                </c:pt>
                <c:pt idx="28">
                  <c:v>42219.0</c:v>
                </c:pt>
                <c:pt idx="29">
                  <c:v>42232.0</c:v>
                </c:pt>
                <c:pt idx="30">
                  <c:v>42245.0</c:v>
                </c:pt>
                <c:pt idx="31">
                  <c:v>42284.0</c:v>
                </c:pt>
                <c:pt idx="32">
                  <c:v>42294.0</c:v>
                </c:pt>
                <c:pt idx="33">
                  <c:v>42309.0</c:v>
                </c:pt>
                <c:pt idx="34">
                  <c:v>42322.0</c:v>
                </c:pt>
                <c:pt idx="35">
                  <c:v>42358.0</c:v>
                </c:pt>
                <c:pt idx="36">
                  <c:v>42371.0</c:v>
                </c:pt>
                <c:pt idx="37">
                  <c:v>42386.0</c:v>
                </c:pt>
                <c:pt idx="38">
                  <c:v>42403.0</c:v>
                </c:pt>
                <c:pt idx="39">
                  <c:v>42422.0</c:v>
                </c:pt>
                <c:pt idx="40">
                  <c:v>42430.0</c:v>
                </c:pt>
                <c:pt idx="41">
                  <c:v>42444.0</c:v>
                </c:pt>
                <c:pt idx="42">
                  <c:v>42461.0</c:v>
                </c:pt>
                <c:pt idx="43">
                  <c:v>42478.0</c:v>
                </c:pt>
                <c:pt idx="44">
                  <c:v>42493.0</c:v>
                </c:pt>
                <c:pt idx="45">
                  <c:v>42506.0</c:v>
                </c:pt>
                <c:pt idx="46">
                  <c:v>42522.0</c:v>
                </c:pt>
                <c:pt idx="47">
                  <c:v>42552.0</c:v>
                </c:pt>
                <c:pt idx="48">
                  <c:v>42585.0</c:v>
                </c:pt>
                <c:pt idx="49">
                  <c:v>42619.0</c:v>
                </c:pt>
                <c:pt idx="50">
                  <c:v>42644.0</c:v>
                </c:pt>
                <c:pt idx="51">
                  <c:v>42675.0</c:v>
                </c:pt>
                <c:pt idx="52">
                  <c:v>42746.0</c:v>
                </c:pt>
                <c:pt idx="53">
                  <c:v>42767.0</c:v>
                </c:pt>
                <c:pt idx="54">
                  <c:v>42795.0</c:v>
                </c:pt>
                <c:pt idx="55">
                  <c:v>42826.0</c:v>
                </c:pt>
                <c:pt idx="56">
                  <c:v>42887.0</c:v>
                </c:pt>
              </c:numCache>
            </c:numRef>
          </c:xVal>
          <c:yVal>
            <c:numRef>
              <c:f>ZonPaneel_APS500!$B$2:$B$2000</c:f>
              <c:numCache>
                <c:formatCode>General</c:formatCode>
                <c:ptCount val="1999"/>
                <c:pt idx="0">
                  <c:v>0.0</c:v>
                </c:pt>
                <c:pt idx="1">
                  <c:v>3.3</c:v>
                </c:pt>
                <c:pt idx="2">
                  <c:v>45.6</c:v>
                </c:pt>
                <c:pt idx="3">
                  <c:v>49.0</c:v>
                </c:pt>
                <c:pt idx="4">
                  <c:v>53.4</c:v>
                </c:pt>
                <c:pt idx="5">
                  <c:v>56.5</c:v>
                </c:pt>
                <c:pt idx="6">
                  <c:v>60.2</c:v>
                </c:pt>
                <c:pt idx="7">
                  <c:v>62.7</c:v>
                </c:pt>
                <c:pt idx="8">
                  <c:v>70.2</c:v>
                </c:pt>
                <c:pt idx="9">
                  <c:v>79.4</c:v>
                </c:pt>
                <c:pt idx="10">
                  <c:v>106.3</c:v>
                </c:pt>
                <c:pt idx="11">
                  <c:v>115.9</c:v>
                </c:pt>
                <c:pt idx="12">
                  <c:v>122.6</c:v>
                </c:pt>
                <c:pt idx="13">
                  <c:v>130.3</c:v>
                </c:pt>
                <c:pt idx="14">
                  <c:v>135.3</c:v>
                </c:pt>
                <c:pt idx="15">
                  <c:v>150.7</c:v>
                </c:pt>
                <c:pt idx="16">
                  <c:v>153.8</c:v>
                </c:pt>
                <c:pt idx="17">
                  <c:v>156.3</c:v>
                </c:pt>
                <c:pt idx="18">
                  <c:v>172.9</c:v>
                </c:pt>
                <c:pt idx="19">
                  <c:v>196.3</c:v>
                </c:pt>
                <c:pt idx="20">
                  <c:v>216.0</c:v>
                </c:pt>
                <c:pt idx="21">
                  <c:v>241.7</c:v>
                </c:pt>
                <c:pt idx="22">
                  <c:v>247.0</c:v>
                </c:pt>
                <c:pt idx="23">
                  <c:v>277.2</c:v>
                </c:pt>
                <c:pt idx="24">
                  <c:v>303.8</c:v>
                </c:pt>
                <c:pt idx="25">
                  <c:v>332.7</c:v>
                </c:pt>
                <c:pt idx="26">
                  <c:v>379.7</c:v>
                </c:pt>
                <c:pt idx="27">
                  <c:v>396.3</c:v>
                </c:pt>
                <c:pt idx="28">
                  <c:v>424.2</c:v>
                </c:pt>
                <c:pt idx="29">
                  <c:v>445.1</c:v>
                </c:pt>
                <c:pt idx="30">
                  <c:v>464.0</c:v>
                </c:pt>
                <c:pt idx="31">
                  <c:v>516.8</c:v>
                </c:pt>
                <c:pt idx="32">
                  <c:v>523.0</c:v>
                </c:pt>
                <c:pt idx="33">
                  <c:v>532.4</c:v>
                </c:pt>
                <c:pt idx="34">
                  <c:v>537.2</c:v>
                </c:pt>
                <c:pt idx="35">
                  <c:v>549.5</c:v>
                </c:pt>
                <c:pt idx="36">
                  <c:v>554.3</c:v>
                </c:pt>
                <c:pt idx="37">
                  <c:v>559.1</c:v>
                </c:pt>
                <c:pt idx="38">
                  <c:v>565.6</c:v>
                </c:pt>
                <c:pt idx="39">
                  <c:v>577.8</c:v>
                </c:pt>
                <c:pt idx="40">
                  <c:v>587.3</c:v>
                </c:pt>
                <c:pt idx="41">
                  <c:v>603.7</c:v>
                </c:pt>
                <c:pt idx="42">
                  <c:v>622.9</c:v>
                </c:pt>
                <c:pt idx="43">
                  <c:v>650.9</c:v>
                </c:pt>
                <c:pt idx="44">
                  <c:v>676.4</c:v>
                </c:pt>
                <c:pt idx="45">
                  <c:v>706.4</c:v>
                </c:pt>
                <c:pt idx="46">
                  <c:v>724.9</c:v>
                </c:pt>
                <c:pt idx="47">
                  <c:v>771.5</c:v>
                </c:pt>
                <c:pt idx="48">
                  <c:v>825.3</c:v>
                </c:pt>
                <c:pt idx="49">
                  <c:v>881.5</c:v>
                </c:pt>
                <c:pt idx="50">
                  <c:v>922.1</c:v>
                </c:pt>
                <c:pt idx="51">
                  <c:v>943.6</c:v>
                </c:pt>
                <c:pt idx="52">
                  <c:v>966.2</c:v>
                </c:pt>
                <c:pt idx="53">
                  <c:v>975.3</c:v>
                </c:pt>
                <c:pt idx="54">
                  <c:v>988.4</c:v>
                </c:pt>
                <c:pt idx="55">
                  <c:v>1029.0</c:v>
                </c:pt>
                <c:pt idx="56">
                  <c:v>1128.2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5319224"/>
        <c:axId val="1864430280"/>
      </c:scatterChart>
      <c:scatterChart>
        <c:scatterStyle val="smoothMarker"/>
        <c:varyColors val="0"/>
        <c:ser>
          <c:idx val="1"/>
          <c:order val="1"/>
          <c:tx>
            <c:strRef>
              <c:f>ZonPaneel_APS500!$C$1</c:f>
              <c:strCache>
                <c:ptCount val="1"/>
                <c:pt idx="0">
                  <c:v>Bespaard</c:v>
                </c:pt>
              </c:strCache>
            </c:strRef>
          </c:tx>
          <c:marker>
            <c:symbol val="square"/>
            <c:size val="4"/>
          </c:marker>
          <c:xVal>
            <c:numRef>
              <c:f>ZonPaneel_APS500!$A$2:$A$2000</c:f>
              <c:numCache>
                <c:formatCode>d\-mmm\-yy</c:formatCode>
                <c:ptCount val="1999"/>
                <c:pt idx="0">
                  <c:v>41851.0</c:v>
                </c:pt>
                <c:pt idx="1">
                  <c:v>41854.0</c:v>
                </c:pt>
                <c:pt idx="2">
                  <c:v>41881.0</c:v>
                </c:pt>
                <c:pt idx="3">
                  <c:v>41883.0</c:v>
                </c:pt>
                <c:pt idx="4">
                  <c:v>41885.0</c:v>
                </c:pt>
                <c:pt idx="5">
                  <c:v>41887.0</c:v>
                </c:pt>
                <c:pt idx="6">
                  <c:v>41890.0</c:v>
                </c:pt>
                <c:pt idx="7">
                  <c:v>41893.0</c:v>
                </c:pt>
                <c:pt idx="8">
                  <c:v>41897.0</c:v>
                </c:pt>
                <c:pt idx="9">
                  <c:v>41904.0</c:v>
                </c:pt>
                <c:pt idx="10">
                  <c:v>41940.0</c:v>
                </c:pt>
                <c:pt idx="11">
                  <c:v>41957.0</c:v>
                </c:pt>
                <c:pt idx="12">
                  <c:v>41978.0</c:v>
                </c:pt>
                <c:pt idx="13">
                  <c:v>42011.0</c:v>
                </c:pt>
                <c:pt idx="14">
                  <c:v>42033.0</c:v>
                </c:pt>
                <c:pt idx="15">
                  <c:v>42058.0</c:v>
                </c:pt>
                <c:pt idx="16">
                  <c:v>42062.0</c:v>
                </c:pt>
                <c:pt idx="17">
                  <c:v>42064.0</c:v>
                </c:pt>
                <c:pt idx="18">
                  <c:v>42078.0</c:v>
                </c:pt>
                <c:pt idx="19">
                  <c:v>42099.0</c:v>
                </c:pt>
                <c:pt idx="20">
                  <c:v>42109.0</c:v>
                </c:pt>
                <c:pt idx="21">
                  <c:v>42122.0</c:v>
                </c:pt>
                <c:pt idx="22">
                  <c:v>42125.0</c:v>
                </c:pt>
                <c:pt idx="23">
                  <c:v>42140.0</c:v>
                </c:pt>
                <c:pt idx="24">
                  <c:v>42156.0</c:v>
                </c:pt>
                <c:pt idx="25">
                  <c:v>42169.0</c:v>
                </c:pt>
                <c:pt idx="26">
                  <c:v>42193.0</c:v>
                </c:pt>
                <c:pt idx="27">
                  <c:v>42203.0</c:v>
                </c:pt>
                <c:pt idx="28">
                  <c:v>42219.0</c:v>
                </c:pt>
                <c:pt idx="29">
                  <c:v>42232.0</c:v>
                </c:pt>
                <c:pt idx="30">
                  <c:v>42245.0</c:v>
                </c:pt>
                <c:pt idx="31">
                  <c:v>42284.0</c:v>
                </c:pt>
                <c:pt idx="32">
                  <c:v>42294.0</c:v>
                </c:pt>
                <c:pt idx="33">
                  <c:v>42309.0</c:v>
                </c:pt>
                <c:pt idx="34">
                  <c:v>42322.0</c:v>
                </c:pt>
                <c:pt idx="35">
                  <c:v>42358.0</c:v>
                </c:pt>
                <c:pt idx="36">
                  <c:v>42371.0</c:v>
                </c:pt>
                <c:pt idx="37">
                  <c:v>42386.0</c:v>
                </c:pt>
                <c:pt idx="38">
                  <c:v>42403.0</c:v>
                </c:pt>
                <c:pt idx="39">
                  <c:v>42422.0</c:v>
                </c:pt>
                <c:pt idx="40">
                  <c:v>42430.0</c:v>
                </c:pt>
                <c:pt idx="41">
                  <c:v>42444.0</c:v>
                </c:pt>
                <c:pt idx="42">
                  <c:v>42461.0</c:v>
                </c:pt>
                <c:pt idx="43">
                  <c:v>42478.0</c:v>
                </c:pt>
                <c:pt idx="44">
                  <c:v>42493.0</c:v>
                </c:pt>
                <c:pt idx="45">
                  <c:v>42506.0</c:v>
                </c:pt>
                <c:pt idx="46">
                  <c:v>42522.0</c:v>
                </c:pt>
                <c:pt idx="47">
                  <c:v>42552.0</c:v>
                </c:pt>
                <c:pt idx="48">
                  <c:v>42585.0</c:v>
                </c:pt>
                <c:pt idx="49">
                  <c:v>42619.0</c:v>
                </c:pt>
                <c:pt idx="50">
                  <c:v>42644.0</c:v>
                </c:pt>
                <c:pt idx="51">
                  <c:v>42675.0</c:v>
                </c:pt>
                <c:pt idx="52">
                  <c:v>42746.0</c:v>
                </c:pt>
                <c:pt idx="53">
                  <c:v>42767.0</c:v>
                </c:pt>
                <c:pt idx="54">
                  <c:v>42795.0</c:v>
                </c:pt>
                <c:pt idx="55">
                  <c:v>42826.0</c:v>
                </c:pt>
                <c:pt idx="56">
                  <c:v>42887.0</c:v>
                </c:pt>
              </c:numCache>
            </c:numRef>
          </c:xVal>
          <c:yVal>
            <c:numRef>
              <c:f>ZonPaneel_APS500!$C$2:$C$2000</c:f>
              <c:numCache>
                <c:formatCode>"€"\ #,##0.00</c:formatCode>
                <c:ptCount val="1999"/>
                <c:pt idx="0">
                  <c:v>0.0</c:v>
                </c:pt>
                <c:pt idx="1">
                  <c:v>0.73722</c:v>
                </c:pt>
                <c:pt idx="2">
                  <c:v>10.18704</c:v>
                </c:pt>
                <c:pt idx="3">
                  <c:v>10.9466</c:v>
                </c:pt>
                <c:pt idx="4">
                  <c:v>11.92956</c:v>
                </c:pt>
                <c:pt idx="5">
                  <c:v>12.6221</c:v>
                </c:pt>
                <c:pt idx="6">
                  <c:v>13.44868</c:v>
                </c:pt>
                <c:pt idx="7">
                  <c:v>14.00718</c:v>
                </c:pt>
                <c:pt idx="8">
                  <c:v>15.68268</c:v>
                </c:pt>
                <c:pt idx="9">
                  <c:v>17.73796</c:v>
                </c:pt>
                <c:pt idx="10">
                  <c:v>23.74742</c:v>
                </c:pt>
                <c:pt idx="11">
                  <c:v>25.89206</c:v>
                </c:pt>
                <c:pt idx="12">
                  <c:v>27.38884</c:v>
                </c:pt>
                <c:pt idx="13">
                  <c:v>29.10902</c:v>
                </c:pt>
                <c:pt idx="14">
                  <c:v>30.2033475</c:v>
                </c:pt>
                <c:pt idx="15">
                  <c:v>33.5738762</c:v>
                </c:pt>
                <c:pt idx="16">
                  <c:v>34.25235925</c:v>
                </c:pt>
                <c:pt idx="17">
                  <c:v>34.799523</c:v>
                </c:pt>
                <c:pt idx="18">
                  <c:v>38.4326903</c:v>
                </c:pt>
                <c:pt idx="19">
                  <c:v>43.554143</c:v>
                </c:pt>
                <c:pt idx="20">
                  <c:v>47.86579335</c:v>
                </c:pt>
                <c:pt idx="21">
                  <c:v>53.4906367</c:v>
                </c:pt>
                <c:pt idx="22">
                  <c:v>54.65062385</c:v>
                </c:pt>
                <c:pt idx="23">
                  <c:v>61.26036195</c:v>
                </c:pt>
                <c:pt idx="24">
                  <c:v>67.08218425</c:v>
                </c:pt>
                <c:pt idx="25">
                  <c:v>73.40739719999999</c:v>
                </c:pt>
                <c:pt idx="26">
                  <c:v>83.53743409999998</c:v>
                </c:pt>
                <c:pt idx="27">
                  <c:v>87.11527691999999</c:v>
                </c:pt>
                <c:pt idx="28">
                  <c:v>93.12863924999998</c:v>
                </c:pt>
                <c:pt idx="29">
                  <c:v>97.63327267999999</c:v>
                </c:pt>
                <c:pt idx="30">
                  <c:v>101.70684071</c:v>
                </c:pt>
                <c:pt idx="31">
                  <c:v>113.08696727</c:v>
                </c:pt>
                <c:pt idx="32">
                  <c:v>114.42327001</c:v>
                </c:pt>
                <c:pt idx="33">
                  <c:v>116.44927739</c:v>
                </c:pt>
                <c:pt idx="34">
                  <c:v>117.48383435</c:v>
                </c:pt>
                <c:pt idx="35">
                  <c:v>120.13488656</c:v>
                </c:pt>
                <c:pt idx="36">
                  <c:v>121.04256608</c:v>
                </c:pt>
                <c:pt idx="37">
                  <c:v>121.9502456</c:v>
                </c:pt>
                <c:pt idx="38">
                  <c:v>123.17939495</c:v>
                </c:pt>
                <c:pt idx="39">
                  <c:v>125.48641373</c:v>
                </c:pt>
                <c:pt idx="40">
                  <c:v>127.28286278</c:v>
                </c:pt>
                <c:pt idx="41">
                  <c:v>130.38410114</c:v>
                </c:pt>
                <c:pt idx="42">
                  <c:v>134.01481922</c:v>
                </c:pt>
                <c:pt idx="43">
                  <c:v>139.30961642</c:v>
                </c:pt>
                <c:pt idx="44">
                  <c:v>144.13166387</c:v>
                </c:pt>
                <c:pt idx="45">
                  <c:v>149.80466087</c:v>
                </c:pt>
                <c:pt idx="46">
                  <c:v>153.30300902</c:v>
                </c:pt>
                <c:pt idx="47">
                  <c:v>161.96634046</c:v>
                </c:pt>
                <c:pt idx="48">
                  <c:v>171.96821238</c:v>
                </c:pt>
                <c:pt idx="49">
                  <c:v>182.41626446</c:v>
                </c:pt>
                <c:pt idx="50">
                  <c:v>189.9641455</c:v>
                </c:pt>
                <c:pt idx="51">
                  <c:v>193.9611761</c:v>
                </c:pt>
                <c:pt idx="52">
                  <c:v>198.11486174</c:v>
                </c:pt>
                <c:pt idx="53">
                  <c:v>199.78736348</c:v>
                </c:pt>
                <c:pt idx="54">
                  <c:v>202.19503082</c:v>
                </c:pt>
                <c:pt idx="55">
                  <c:v>209.65696166</c:v>
                </c:pt>
                <c:pt idx="56">
                  <c:v>227.88906854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4867096"/>
        <c:axId val="1865310024"/>
      </c:scatterChart>
      <c:valAx>
        <c:axId val="1865319224"/>
        <c:scaling>
          <c:orientation val="minMax"/>
        </c:scaling>
        <c:delete val="0"/>
        <c:axPos val="b"/>
        <c:majorGridlines/>
        <c:numFmt formatCode="d\-mmm\-yy" sourceLinked="1"/>
        <c:majorTickMark val="out"/>
        <c:minorTickMark val="none"/>
        <c:tickLblPos val="nextTo"/>
        <c:txPr>
          <a:bodyPr rot="-1260000"/>
          <a:lstStyle/>
          <a:p>
            <a:pPr>
              <a:defRPr/>
            </a:pPr>
            <a:endParaRPr lang="en-US"/>
          </a:p>
        </c:txPr>
        <c:crossAx val="1864430280"/>
        <c:crosses val="autoZero"/>
        <c:crossBetween val="midCat"/>
      </c:valAx>
      <c:valAx>
        <c:axId val="1864430280"/>
        <c:scaling>
          <c:orientation val="minMax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5319224"/>
        <c:crosses val="autoZero"/>
        <c:crossBetween val="midCat"/>
      </c:valAx>
      <c:valAx>
        <c:axId val="1865310024"/>
        <c:scaling>
          <c:orientation val="minMax"/>
          <c:min val="0.0"/>
        </c:scaling>
        <c:delete val="0"/>
        <c:axPos val="r"/>
        <c:numFmt formatCode="&quot;€&quot;\ #,##0.00" sourceLinked="1"/>
        <c:majorTickMark val="out"/>
        <c:minorTickMark val="none"/>
        <c:tickLblPos val="nextTo"/>
        <c:crossAx val="1864867096"/>
        <c:crosses val="max"/>
        <c:crossBetween val="midCat"/>
      </c:valAx>
      <c:valAx>
        <c:axId val="1864867096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one"/>
        <c:crossAx val="18653100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1.0" l="0.750000000000003" r="0.750000000000003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ZonPaneel_Steca1800!$B$1</c:f>
              <c:strCache>
                <c:ptCount val="1"/>
                <c:pt idx="0">
                  <c:v>kWh -stand</c:v>
                </c:pt>
              </c:strCache>
            </c:strRef>
          </c:tx>
          <c:marker>
            <c:symbol val="diamond"/>
            <c:size val="6"/>
          </c:marker>
          <c:xVal>
            <c:numRef>
              <c:f>ZonPaneel_Steca1800!$A$2:$A$2000</c:f>
              <c:numCache>
                <c:formatCode>d\-mmm\-yy</c:formatCode>
                <c:ptCount val="1999"/>
                <c:pt idx="0">
                  <c:v>41853.0</c:v>
                </c:pt>
                <c:pt idx="1">
                  <c:v>41854.0</c:v>
                </c:pt>
                <c:pt idx="2">
                  <c:v>41882.0</c:v>
                </c:pt>
                <c:pt idx="3">
                  <c:v>41883.0</c:v>
                </c:pt>
                <c:pt idx="4">
                  <c:v>41884.0</c:v>
                </c:pt>
                <c:pt idx="5">
                  <c:v>41885.0</c:v>
                </c:pt>
                <c:pt idx="6">
                  <c:v>41887.0</c:v>
                </c:pt>
                <c:pt idx="7">
                  <c:v>41890.0</c:v>
                </c:pt>
                <c:pt idx="8">
                  <c:v>41893.0</c:v>
                </c:pt>
                <c:pt idx="9">
                  <c:v>41897.0</c:v>
                </c:pt>
                <c:pt idx="10">
                  <c:v>41904.0</c:v>
                </c:pt>
                <c:pt idx="11">
                  <c:v>41940.0</c:v>
                </c:pt>
                <c:pt idx="12">
                  <c:v>41957.0</c:v>
                </c:pt>
                <c:pt idx="13">
                  <c:v>41978.0</c:v>
                </c:pt>
                <c:pt idx="14">
                  <c:v>42011.0</c:v>
                </c:pt>
                <c:pt idx="15">
                  <c:v>42033.0</c:v>
                </c:pt>
                <c:pt idx="16">
                  <c:v>42058.0</c:v>
                </c:pt>
                <c:pt idx="17">
                  <c:v>42062.0</c:v>
                </c:pt>
                <c:pt idx="18">
                  <c:v>42064.0</c:v>
                </c:pt>
                <c:pt idx="19">
                  <c:v>42078.0</c:v>
                </c:pt>
                <c:pt idx="20">
                  <c:v>42099.0</c:v>
                </c:pt>
                <c:pt idx="21">
                  <c:v>42109.0</c:v>
                </c:pt>
                <c:pt idx="22">
                  <c:v>42122.0</c:v>
                </c:pt>
                <c:pt idx="23">
                  <c:v>42125.0</c:v>
                </c:pt>
                <c:pt idx="24">
                  <c:v>42140.0</c:v>
                </c:pt>
                <c:pt idx="25">
                  <c:v>42156.0</c:v>
                </c:pt>
                <c:pt idx="26">
                  <c:v>42169.0</c:v>
                </c:pt>
                <c:pt idx="27">
                  <c:v>42193.0</c:v>
                </c:pt>
                <c:pt idx="28">
                  <c:v>42203.0</c:v>
                </c:pt>
                <c:pt idx="29">
                  <c:v>42219.0</c:v>
                </c:pt>
                <c:pt idx="30">
                  <c:v>42232.0</c:v>
                </c:pt>
                <c:pt idx="31">
                  <c:v>42245.0</c:v>
                </c:pt>
                <c:pt idx="32">
                  <c:v>42284.0</c:v>
                </c:pt>
                <c:pt idx="33">
                  <c:v>42294.0</c:v>
                </c:pt>
                <c:pt idx="34">
                  <c:v>42309.0</c:v>
                </c:pt>
                <c:pt idx="35">
                  <c:v>42322.0</c:v>
                </c:pt>
                <c:pt idx="36">
                  <c:v>42358.0</c:v>
                </c:pt>
                <c:pt idx="37">
                  <c:v>42371.0</c:v>
                </c:pt>
                <c:pt idx="38">
                  <c:v>42386.0</c:v>
                </c:pt>
                <c:pt idx="39">
                  <c:v>42403.0</c:v>
                </c:pt>
                <c:pt idx="40">
                  <c:v>42422.0</c:v>
                </c:pt>
                <c:pt idx="41">
                  <c:v>42430.0</c:v>
                </c:pt>
                <c:pt idx="42">
                  <c:v>42444.0</c:v>
                </c:pt>
                <c:pt idx="43">
                  <c:v>42461.0</c:v>
                </c:pt>
                <c:pt idx="44">
                  <c:v>42478.0</c:v>
                </c:pt>
                <c:pt idx="45">
                  <c:v>42493.0</c:v>
                </c:pt>
                <c:pt idx="46">
                  <c:v>42506.0</c:v>
                </c:pt>
                <c:pt idx="47">
                  <c:v>42522.0</c:v>
                </c:pt>
                <c:pt idx="48">
                  <c:v>42552.0</c:v>
                </c:pt>
                <c:pt idx="49">
                  <c:v>42585.0</c:v>
                </c:pt>
                <c:pt idx="50">
                  <c:v>42619.0</c:v>
                </c:pt>
                <c:pt idx="51">
                  <c:v>42644.0</c:v>
                </c:pt>
                <c:pt idx="52">
                  <c:v>42675.0</c:v>
                </c:pt>
                <c:pt idx="53">
                  <c:v>42746.0</c:v>
                </c:pt>
                <c:pt idx="54">
                  <c:v>42767.0</c:v>
                </c:pt>
                <c:pt idx="55">
                  <c:v>42795.0</c:v>
                </c:pt>
                <c:pt idx="56">
                  <c:v>42826.0</c:v>
                </c:pt>
                <c:pt idx="57">
                  <c:v>42887.0</c:v>
                </c:pt>
              </c:numCache>
            </c:numRef>
          </c:xVal>
          <c:yVal>
            <c:numRef>
              <c:f>ZonPaneel_Steca1800!$B$2:$B$2000</c:f>
              <c:numCache>
                <c:formatCode>General</c:formatCode>
                <c:ptCount val="1999"/>
                <c:pt idx="0">
                  <c:v>0.0</c:v>
                </c:pt>
                <c:pt idx="1">
                  <c:v>0.6</c:v>
                </c:pt>
                <c:pt idx="2">
                  <c:v>204.0</c:v>
                </c:pt>
                <c:pt idx="3">
                  <c:v>215.0</c:v>
                </c:pt>
                <c:pt idx="4">
                  <c:v>225.0</c:v>
                </c:pt>
                <c:pt idx="5">
                  <c:v>236.0</c:v>
                </c:pt>
                <c:pt idx="6">
                  <c:v>252.0</c:v>
                </c:pt>
                <c:pt idx="7">
                  <c:v>271.0</c:v>
                </c:pt>
                <c:pt idx="8">
                  <c:v>281.0</c:v>
                </c:pt>
                <c:pt idx="9">
                  <c:v>320.0</c:v>
                </c:pt>
                <c:pt idx="10">
                  <c:v>365.0</c:v>
                </c:pt>
                <c:pt idx="11">
                  <c:v>482.0</c:v>
                </c:pt>
                <c:pt idx="12">
                  <c:v>519.0</c:v>
                </c:pt>
                <c:pt idx="13">
                  <c:v>543.0</c:v>
                </c:pt>
                <c:pt idx="14">
                  <c:v>571.0</c:v>
                </c:pt>
                <c:pt idx="15">
                  <c:v>591.0</c:v>
                </c:pt>
                <c:pt idx="16">
                  <c:v>655.0</c:v>
                </c:pt>
                <c:pt idx="17">
                  <c:v>670.0</c:v>
                </c:pt>
                <c:pt idx="18">
                  <c:v>681.0</c:v>
                </c:pt>
                <c:pt idx="19">
                  <c:v>760.0</c:v>
                </c:pt>
                <c:pt idx="20">
                  <c:v>873.0</c:v>
                </c:pt>
                <c:pt idx="21">
                  <c:v>972.0</c:v>
                </c:pt>
                <c:pt idx="22">
                  <c:v>1102.0</c:v>
                </c:pt>
                <c:pt idx="23">
                  <c:v>1128.0</c:v>
                </c:pt>
                <c:pt idx="24">
                  <c:v>1274.0</c:v>
                </c:pt>
                <c:pt idx="25">
                  <c:v>1396.0</c:v>
                </c:pt>
                <c:pt idx="26">
                  <c:v>1537.0</c:v>
                </c:pt>
                <c:pt idx="27">
                  <c:v>1762.0</c:v>
                </c:pt>
                <c:pt idx="28">
                  <c:v>1844.0</c:v>
                </c:pt>
                <c:pt idx="29">
                  <c:v>1974.0</c:v>
                </c:pt>
                <c:pt idx="30">
                  <c:v>2079.0</c:v>
                </c:pt>
                <c:pt idx="31">
                  <c:v>2171.0</c:v>
                </c:pt>
                <c:pt idx="32">
                  <c:v>2413.0</c:v>
                </c:pt>
                <c:pt idx="33">
                  <c:v>2440.0</c:v>
                </c:pt>
                <c:pt idx="34">
                  <c:v>2476.0</c:v>
                </c:pt>
                <c:pt idx="35">
                  <c:v>2496.0</c:v>
                </c:pt>
                <c:pt idx="36">
                  <c:v>2539.0</c:v>
                </c:pt>
                <c:pt idx="37">
                  <c:v>2552.0</c:v>
                </c:pt>
                <c:pt idx="38">
                  <c:v>2562.0</c:v>
                </c:pt>
                <c:pt idx="39">
                  <c:v>2575.0</c:v>
                </c:pt>
                <c:pt idx="40">
                  <c:v>2590.199999999999</c:v>
                </c:pt>
                <c:pt idx="41">
                  <c:v>2615.199999999999</c:v>
                </c:pt>
                <c:pt idx="42">
                  <c:v>2690.199999999999</c:v>
                </c:pt>
                <c:pt idx="43">
                  <c:v>2780.199999999999</c:v>
                </c:pt>
                <c:pt idx="44">
                  <c:v>2916.199999999999</c:v>
                </c:pt>
                <c:pt idx="45">
                  <c:v>3038.199999999999</c:v>
                </c:pt>
                <c:pt idx="46">
                  <c:v>3185.199999999999</c:v>
                </c:pt>
                <c:pt idx="47">
                  <c:v>3270.199999999999</c:v>
                </c:pt>
                <c:pt idx="48">
                  <c:v>3489.199999999999</c:v>
                </c:pt>
                <c:pt idx="49">
                  <c:v>3747.199999999999</c:v>
                </c:pt>
                <c:pt idx="50">
                  <c:v>4026.199999999999</c:v>
                </c:pt>
                <c:pt idx="51">
                  <c:v>4214.199999999998</c:v>
                </c:pt>
                <c:pt idx="52">
                  <c:v>4301.199999999998</c:v>
                </c:pt>
                <c:pt idx="53">
                  <c:v>4380.199999999998</c:v>
                </c:pt>
                <c:pt idx="54">
                  <c:v>4413.199999999998</c:v>
                </c:pt>
                <c:pt idx="55">
                  <c:v>4468.199999999998</c:v>
                </c:pt>
                <c:pt idx="56">
                  <c:v>4655.199999999998</c:v>
                </c:pt>
                <c:pt idx="57">
                  <c:v>5128.199999999998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5224248"/>
        <c:axId val="1865227272"/>
      </c:scatterChart>
      <c:scatterChart>
        <c:scatterStyle val="smoothMarker"/>
        <c:varyColors val="0"/>
        <c:ser>
          <c:idx val="1"/>
          <c:order val="1"/>
          <c:tx>
            <c:strRef>
              <c:f>ZonPaneel_Steca1800!$C$1</c:f>
              <c:strCache>
                <c:ptCount val="1"/>
                <c:pt idx="0">
                  <c:v>Bespaard</c:v>
                </c:pt>
              </c:strCache>
            </c:strRef>
          </c:tx>
          <c:marker>
            <c:symbol val="square"/>
            <c:size val="4"/>
          </c:marker>
          <c:xVal>
            <c:numRef>
              <c:f>ZonPaneel_Steca1800!$A$2:$A$2000</c:f>
              <c:numCache>
                <c:formatCode>d\-mmm\-yy</c:formatCode>
                <c:ptCount val="1999"/>
                <c:pt idx="0">
                  <c:v>41853.0</c:v>
                </c:pt>
                <c:pt idx="1">
                  <c:v>41854.0</c:v>
                </c:pt>
                <c:pt idx="2">
                  <c:v>41882.0</c:v>
                </c:pt>
                <c:pt idx="3">
                  <c:v>41883.0</c:v>
                </c:pt>
                <c:pt idx="4">
                  <c:v>41884.0</c:v>
                </c:pt>
                <c:pt idx="5">
                  <c:v>41885.0</c:v>
                </c:pt>
                <c:pt idx="6">
                  <c:v>41887.0</c:v>
                </c:pt>
                <c:pt idx="7">
                  <c:v>41890.0</c:v>
                </c:pt>
                <c:pt idx="8">
                  <c:v>41893.0</c:v>
                </c:pt>
                <c:pt idx="9">
                  <c:v>41897.0</c:v>
                </c:pt>
                <c:pt idx="10">
                  <c:v>41904.0</c:v>
                </c:pt>
                <c:pt idx="11">
                  <c:v>41940.0</c:v>
                </c:pt>
                <c:pt idx="12">
                  <c:v>41957.0</c:v>
                </c:pt>
                <c:pt idx="13">
                  <c:v>41978.0</c:v>
                </c:pt>
                <c:pt idx="14">
                  <c:v>42011.0</c:v>
                </c:pt>
                <c:pt idx="15">
                  <c:v>42033.0</c:v>
                </c:pt>
                <c:pt idx="16">
                  <c:v>42058.0</c:v>
                </c:pt>
                <c:pt idx="17">
                  <c:v>42062.0</c:v>
                </c:pt>
                <c:pt idx="18">
                  <c:v>42064.0</c:v>
                </c:pt>
                <c:pt idx="19">
                  <c:v>42078.0</c:v>
                </c:pt>
                <c:pt idx="20">
                  <c:v>42099.0</c:v>
                </c:pt>
                <c:pt idx="21">
                  <c:v>42109.0</c:v>
                </c:pt>
                <c:pt idx="22">
                  <c:v>42122.0</c:v>
                </c:pt>
                <c:pt idx="23">
                  <c:v>42125.0</c:v>
                </c:pt>
                <c:pt idx="24">
                  <c:v>42140.0</c:v>
                </c:pt>
                <c:pt idx="25">
                  <c:v>42156.0</c:v>
                </c:pt>
                <c:pt idx="26">
                  <c:v>42169.0</c:v>
                </c:pt>
                <c:pt idx="27">
                  <c:v>42193.0</c:v>
                </c:pt>
                <c:pt idx="28">
                  <c:v>42203.0</c:v>
                </c:pt>
                <c:pt idx="29">
                  <c:v>42219.0</c:v>
                </c:pt>
                <c:pt idx="30">
                  <c:v>42232.0</c:v>
                </c:pt>
                <c:pt idx="31">
                  <c:v>42245.0</c:v>
                </c:pt>
                <c:pt idx="32">
                  <c:v>42284.0</c:v>
                </c:pt>
                <c:pt idx="33">
                  <c:v>42294.0</c:v>
                </c:pt>
                <c:pt idx="34">
                  <c:v>42309.0</c:v>
                </c:pt>
                <c:pt idx="35">
                  <c:v>42322.0</c:v>
                </c:pt>
                <c:pt idx="36">
                  <c:v>42358.0</c:v>
                </c:pt>
                <c:pt idx="37">
                  <c:v>42371.0</c:v>
                </c:pt>
                <c:pt idx="38">
                  <c:v>42386.0</c:v>
                </c:pt>
                <c:pt idx="39">
                  <c:v>42403.0</c:v>
                </c:pt>
                <c:pt idx="40">
                  <c:v>42422.0</c:v>
                </c:pt>
                <c:pt idx="41">
                  <c:v>42430.0</c:v>
                </c:pt>
                <c:pt idx="42">
                  <c:v>42444.0</c:v>
                </c:pt>
                <c:pt idx="43">
                  <c:v>42461.0</c:v>
                </c:pt>
                <c:pt idx="44">
                  <c:v>42478.0</c:v>
                </c:pt>
                <c:pt idx="45">
                  <c:v>42493.0</c:v>
                </c:pt>
                <c:pt idx="46">
                  <c:v>42506.0</c:v>
                </c:pt>
                <c:pt idx="47">
                  <c:v>42522.0</c:v>
                </c:pt>
                <c:pt idx="48">
                  <c:v>42552.0</c:v>
                </c:pt>
                <c:pt idx="49">
                  <c:v>42585.0</c:v>
                </c:pt>
                <c:pt idx="50">
                  <c:v>42619.0</c:v>
                </c:pt>
                <c:pt idx="51">
                  <c:v>42644.0</c:v>
                </c:pt>
                <c:pt idx="52">
                  <c:v>42675.0</c:v>
                </c:pt>
                <c:pt idx="53">
                  <c:v>42746.0</c:v>
                </c:pt>
                <c:pt idx="54">
                  <c:v>42767.0</c:v>
                </c:pt>
                <c:pt idx="55">
                  <c:v>42795.0</c:v>
                </c:pt>
                <c:pt idx="56">
                  <c:v>42826.0</c:v>
                </c:pt>
                <c:pt idx="57">
                  <c:v>42887.0</c:v>
                </c:pt>
              </c:numCache>
            </c:numRef>
          </c:xVal>
          <c:yVal>
            <c:numRef>
              <c:f>ZonPaneel_Steca1800!$C$2:$C$2000</c:f>
              <c:numCache>
                <c:formatCode>"€"\ #,##0.00</c:formatCode>
                <c:ptCount val="1999"/>
                <c:pt idx="0">
                  <c:v>0.0</c:v>
                </c:pt>
                <c:pt idx="1">
                  <c:v>0.13404</c:v>
                </c:pt>
                <c:pt idx="2">
                  <c:v>45.5736</c:v>
                </c:pt>
                <c:pt idx="3">
                  <c:v>48.031</c:v>
                </c:pt>
                <c:pt idx="4">
                  <c:v>50.265</c:v>
                </c:pt>
                <c:pt idx="5">
                  <c:v>52.7224</c:v>
                </c:pt>
                <c:pt idx="6">
                  <c:v>56.2968</c:v>
                </c:pt>
                <c:pt idx="7">
                  <c:v>60.5414</c:v>
                </c:pt>
                <c:pt idx="8">
                  <c:v>62.7754</c:v>
                </c:pt>
                <c:pt idx="9">
                  <c:v>71.488</c:v>
                </c:pt>
                <c:pt idx="10">
                  <c:v>81.541</c:v>
                </c:pt>
                <c:pt idx="11">
                  <c:v>107.6788</c:v>
                </c:pt>
                <c:pt idx="12">
                  <c:v>115.9446</c:v>
                </c:pt>
                <c:pt idx="13">
                  <c:v>121.3062</c:v>
                </c:pt>
                <c:pt idx="14">
                  <c:v>127.434434</c:v>
                </c:pt>
                <c:pt idx="15">
                  <c:v>131.811744</c:v>
                </c:pt>
                <c:pt idx="16">
                  <c:v>145.819136</c:v>
                </c:pt>
                <c:pt idx="17">
                  <c:v>149.1021185</c:v>
                </c:pt>
                <c:pt idx="18">
                  <c:v>151.509639</c:v>
                </c:pt>
                <c:pt idx="19">
                  <c:v>168.8000135</c:v>
                </c:pt>
                <c:pt idx="20">
                  <c:v>193.531815</c:v>
                </c:pt>
                <c:pt idx="21">
                  <c:v>215.1994995</c:v>
                </c:pt>
                <c:pt idx="22">
                  <c:v>243.6520145</c:v>
                </c:pt>
                <c:pt idx="23">
                  <c:v>249.3425175</c:v>
                </c:pt>
                <c:pt idx="24">
                  <c:v>281.2968805</c:v>
                </c:pt>
                <c:pt idx="25">
                  <c:v>307.9984715000001</c:v>
                </c:pt>
                <c:pt idx="26">
                  <c:v>338.858507</c:v>
                </c:pt>
                <c:pt idx="27">
                  <c:v>387.3533645</c:v>
                </c:pt>
                <c:pt idx="28">
                  <c:v>405.0270459</c:v>
                </c:pt>
                <c:pt idx="29">
                  <c:v>433.0462969</c:v>
                </c:pt>
                <c:pt idx="30">
                  <c:v>455.6772304</c:v>
                </c:pt>
                <c:pt idx="31">
                  <c:v>475.5062388</c:v>
                </c:pt>
                <c:pt idx="32">
                  <c:v>527.6651522</c:v>
                </c:pt>
                <c:pt idx="33">
                  <c:v>533.4845351</c:v>
                </c:pt>
                <c:pt idx="34">
                  <c:v>541.2437123</c:v>
                </c:pt>
                <c:pt idx="35">
                  <c:v>545.5543663</c:v>
                </c:pt>
                <c:pt idx="36">
                  <c:v>554.8222724</c:v>
                </c:pt>
                <c:pt idx="37">
                  <c:v>557.2805711</c:v>
                </c:pt>
                <c:pt idx="38">
                  <c:v>559.1715701</c:v>
                </c:pt>
                <c:pt idx="39">
                  <c:v>561.6298687999999</c:v>
                </c:pt>
                <c:pt idx="40">
                  <c:v>564.5041872799997</c:v>
                </c:pt>
                <c:pt idx="41">
                  <c:v>569.2316847799998</c:v>
                </c:pt>
                <c:pt idx="42">
                  <c:v>583.4141772799997</c:v>
                </c:pt>
                <c:pt idx="43">
                  <c:v>600.4331682799998</c:v>
                </c:pt>
                <c:pt idx="44">
                  <c:v>626.1507546799997</c:v>
                </c:pt>
                <c:pt idx="45">
                  <c:v>649.2209424799997</c:v>
                </c:pt>
                <c:pt idx="46">
                  <c:v>677.0186277799997</c:v>
                </c:pt>
                <c:pt idx="47">
                  <c:v>693.0921192799998</c:v>
                </c:pt>
                <c:pt idx="48">
                  <c:v>733.8060588799998</c:v>
                </c:pt>
                <c:pt idx="49">
                  <c:v>781.7704260799997</c:v>
                </c:pt>
                <c:pt idx="50">
                  <c:v>833.6388696799997</c:v>
                </c:pt>
                <c:pt idx="51">
                  <c:v>868.5896488799997</c:v>
                </c:pt>
                <c:pt idx="52">
                  <c:v>884.7636796799996</c:v>
                </c:pt>
                <c:pt idx="53">
                  <c:v>899.2832002799996</c:v>
                </c:pt>
                <c:pt idx="54">
                  <c:v>905.3483164799997</c:v>
                </c:pt>
                <c:pt idx="55">
                  <c:v>915.4568434799996</c:v>
                </c:pt>
                <c:pt idx="56">
                  <c:v>949.8258352799996</c:v>
                </c:pt>
                <c:pt idx="57">
                  <c:v>1036.75916748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5233608"/>
        <c:axId val="1865230312"/>
      </c:scatterChart>
      <c:valAx>
        <c:axId val="1865224248"/>
        <c:scaling>
          <c:orientation val="minMax"/>
        </c:scaling>
        <c:delete val="0"/>
        <c:axPos val="b"/>
        <c:majorGridlines/>
        <c:numFmt formatCode="d\-mmm\-yy" sourceLinked="1"/>
        <c:majorTickMark val="out"/>
        <c:minorTickMark val="none"/>
        <c:tickLblPos val="nextTo"/>
        <c:txPr>
          <a:bodyPr rot="-1260000"/>
          <a:lstStyle/>
          <a:p>
            <a:pPr>
              <a:defRPr/>
            </a:pPr>
            <a:endParaRPr lang="en-US"/>
          </a:p>
        </c:txPr>
        <c:crossAx val="1865227272"/>
        <c:crosses val="autoZero"/>
        <c:crossBetween val="midCat"/>
      </c:valAx>
      <c:valAx>
        <c:axId val="1865227272"/>
        <c:scaling>
          <c:orientation val="minMax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5224248"/>
        <c:crosses val="autoZero"/>
        <c:crossBetween val="midCat"/>
      </c:valAx>
      <c:valAx>
        <c:axId val="1865230312"/>
        <c:scaling>
          <c:orientation val="minMax"/>
          <c:min val="0.0"/>
        </c:scaling>
        <c:delete val="0"/>
        <c:axPos val="r"/>
        <c:numFmt formatCode="&quot;€&quot;\ #,##0.00" sourceLinked="1"/>
        <c:majorTickMark val="out"/>
        <c:minorTickMark val="none"/>
        <c:tickLblPos val="nextTo"/>
        <c:crossAx val="1865233608"/>
        <c:crosses val="max"/>
        <c:crossBetween val="midCat"/>
      </c:valAx>
      <c:valAx>
        <c:axId val="1865233608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one"/>
        <c:crossAx val="18652303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1.0" l="0.750000000000003" r="0.750000000000003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ZonPaneel_7xAPS500!$B$1</c:f>
              <c:strCache>
                <c:ptCount val="1"/>
                <c:pt idx="0">
                  <c:v>kWh -stand</c:v>
                </c:pt>
              </c:strCache>
            </c:strRef>
          </c:tx>
          <c:marker>
            <c:symbol val="diamond"/>
            <c:size val="6"/>
          </c:marker>
          <c:xVal>
            <c:numRef>
              <c:f>ZonPaneel_7xAPS500!$A$2:$A$2000</c:f>
              <c:numCache>
                <c:formatCode>d\-mmm\-yy</c:formatCode>
                <c:ptCount val="1999"/>
                <c:pt idx="0">
                  <c:v>41884.0</c:v>
                </c:pt>
                <c:pt idx="1">
                  <c:v>41885.0</c:v>
                </c:pt>
                <c:pt idx="2">
                  <c:v>41887.0</c:v>
                </c:pt>
                <c:pt idx="3">
                  <c:v>41890.0</c:v>
                </c:pt>
                <c:pt idx="4">
                  <c:v>41893.0</c:v>
                </c:pt>
                <c:pt idx="5">
                  <c:v>41897.0</c:v>
                </c:pt>
                <c:pt idx="6">
                  <c:v>41904.0</c:v>
                </c:pt>
                <c:pt idx="7">
                  <c:v>41940.0</c:v>
                </c:pt>
                <c:pt idx="8">
                  <c:v>41957.0</c:v>
                </c:pt>
                <c:pt idx="9">
                  <c:v>41978.0</c:v>
                </c:pt>
                <c:pt idx="10">
                  <c:v>42011.0</c:v>
                </c:pt>
                <c:pt idx="11">
                  <c:v>42033.0</c:v>
                </c:pt>
                <c:pt idx="12">
                  <c:v>42058.0</c:v>
                </c:pt>
                <c:pt idx="13">
                  <c:v>42062.0</c:v>
                </c:pt>
                <c:pt idx="14">
                  <c:v>42064.0</c:v>
                </c:pt>
                <c:pt idx="15">
                  <c:v>42078.0</c:v>
                </c:pt>
                <c:pt idx="16">
                  <c:v>42099.0</c:v>
                </c:pt>
                <c:pt idx="17">
                  <c:v>42109.0</c:v>
                </c:pt>
                <c:pt idx="18">
                  <c:v>42122.0</c:v>
                </c:pt>
                <c:pt idx="19">
                  <c:v>42125.0</c:v>
                </c:pt>
                <c:pt idx="20">
                  <c:v>42140.0</c:v>
                </c:pt>
                <c:pt idx="21">
                  <c:v>42156.0</c:v>
                </c:pt>
                <c:pt idx="22">
                  <c:v>42169.0</c:v>
                </c:pt>
                <c:pt idx="23">
                  <c:v>42193.0</c:v>
                </c:pt>
                <c:pt idx="24">
                  <c:v>42203.0</c:v>
                </c:pt>
                <c:pt idx="25">
                  <c:v>42219.0</c:v>
                </c:pt>
                <c:pt idx="26">
                  <c:v>42232.0</c:v>
                </c:pt>
                <c:pt idx="27">
                  <c:v>42245.0</c:v>
                </c:pt>
                <c:pt idx="28">
                  <c:v>42284.0</c:v>
                </c:pt>
                <c:pt idx="29">
                  <c:v>42294.0</c:v>
                </c:pt>
                <c:pt idx="30">
                  <c:v>42309.0</c:v>
                </c:pt>
                <c:pt idx="31">
                  <c:v>42322.0</c:v>
                </c:pt>
                <c:pt idx="32">
                  <c:v>42358.0</c:v>
                </c:pt>
                <c:pt idx="33">
                  <c:v>42371.0</c:v>
                </c:pt>
                <c:pt idx="34">
                  <c:v>42386.0</c:v>
                </c:pt>
                <c:pt idx="35">
                  <c:v>42403.0</c:v>
                </c:pt>
                <c:pt idx="36">
                  <c:v>42422.0</c:v>
                </c:pt>
                <c:pt idx="37">
                  <c:v>42430.0</c:v>
                </c:pt>
                <c:pt idx="38">
                  <c:v>42444.0</c:v>
                </c:pt>
                <c:pt idx="39">
                  <c:v>42461.0</c:v>
                </c:pt>
                <c:pt idx="40">
                  <c:v>42478.0</c:v>
                </c:pt>
                <c:pt idx="41">
                  <c:v>42493.0</c:v>
                </c:pt>
                <c:pt idx="42">
                  <c:v>42506.0</c:v>
                </c:pt>
                <c:pt idx="43">
                  <c:v>42522.0</c:v>
                </c:pt>
                <c:pt idx="44">
                  <c:v>42552.0</c:v>
                </c:pt>
                <c:pt idx="45">
                  <c:v>42585.0</c:v>
                </c:pt>
                <c:pt idx="46">
                  <c:v>42619.0</c:v>
                </c:pt>
                <c:pt idx="47">
                  <c:v>42644.0</c:v>
                </c:pt>
                <c:pt idx="48">
                  <c:v>42675.0</c:v>
                </c:pt>
                <c:pt idx="49">
                  <c:v>42746.0</c:v>
                </c:pt>
                <c:pt idx="50">
                  <c:v>42767.0</c:v>
                </c:pt>
                <c:pt idx="51">
                  <c:v>42795.0</c:v>
                </c:pt>
                <c:pt idx="52">
                  <c:v>42826.0</c:v>
                </c:pt>
                <c:pt idx="53">
                  <c:v>42887.0</c:v>
                </c:pt>
              </c:numCache>
            </c:numRef>
          </c:xVal>
          <c:yVal>
            <c:numRef>
              <c:f>ZonPaneel_7xAPS500!$B$2:$B$2000</c:f>
              <c:numCache>
                <c:formatCode>General</c:formatCode>
                <c:ptCount val="1999"/>
                <c:pt idx="0">
                  <c:v>0.0</c:v>
                </c:pt>
                <c:pt idx="1">
                  <c:v>9.17</c:v>
                </c:pt>
                <c:pt idx="2">
                  <c:v>25.48</c:v>
                </c:pt>
                <c:pt idx="3">
                  <c:v>46.51</c:v>
                </c:pt>
                <c:pt idx="4">
                  <c:v>60.95</c:v>
                </c:pt>
                <c:pt idx="5">
                  <c:v>93.87</c:v>
                </c:pt>
                <c:pt idx="6">
                  <c:v>134.42</c:v>
                </c:pt>
                <c:pt idx="7">
                  <c:v>261.06</c:v>
                </c:pt>
                <c:pt idx="8">
                  <c:v>295.75</c:v>
                </c:pt>
                <c:pt idx="9">
                  <c:v>322.27</c:v>
                </c:pt>
                <c:pt idx="10">
                  <c:v>349.88</c:v>
                </c:pt>
                <c:pt idx="11">
                  <c:v>375.34</c:v>
                </c:pt>
                <c:pt idx="12">
                  <c:v>439.61</c:v>
                </c:pt>
                <c:pt idx="13">
                  <c:v>458.62</c:v>
                </c:pt>
                <c:pt idx="14">
                  <c:v>468.87</c:v>
                </c:pt>
                <c:pt idx="15">
                  <c:v>541.26</c:v>
                </c:pt>
                <c:pt idx="16">
                  <c:v>672.58</c:v>
                </c:pt>
                <c:pt idx="17">
                  <c:v>788.23</c:v>
                </c:pt>
                <c:pt idx="18">
                  <c:v>949.89</c:v>
                </c:pt>
                <c:pt idx="19">
                  <c:v>984.63</c:v>
                </c:pt>
                <c:pt idx="20">
                  <c:v>1190.0</c:v>
                </c:pt>
                <c:pt idx="21">
                  <c:v>1380.0</c:v>
                </c:pt>
                <c:pt idx="22">
                  <c:v>1488.0</c:v>
                </c:pt>
                <c:pt idx="23">
                  <c:v>1938.0</c:v>
                </c:pt>
                <c:pt idx="24">
                  <c:v>2062.0</c:v>
                </c:pt>
                <c:pt idx="25">
                  <c:v>2243.0</c:v>
                </c:pt>
                <c:pt idx="26">
                  <c:v>2380.8</c:v>
                </c:pt>
                <c:pt idx="27">
                  <c:v>2479.4</c:v>
                </c:pt>
                <c:pt idx="28">
                  <c:v>2699.0</c:v>
                </c:pt>
                <c:pt idx="29">
                  <c:v>2721.0</c:v>
                </c:pt>
                <c:pt idx="30">
                  <c:v>2758.4</c:v>
                </c:pt>
                <c:pt idx="31">
                  <c:v>2781.15</c:v>
                </c:pt>
                <c:pt idx="32">
                  <c:v>2827.26</c:v>
                </c:pt>
                <c:pt idx="33">
                  <c:v>2843.85</c:v>
                </c:pt>
                <c:pt idx="34">
                  <c:v>2860.45</c:v>
                </c:pt>
                <c:pt idx="35">
                  <c:v>2883.72</c:v>
                </c:pt>
                <c:pt idx="36">
                  <c:v>2933.81</c:v>
                </c:pt>
                <c:pt idx="37">
                  <c:v>2966.19</c:v>
                </c:pt>
                <c:pt idx="38">
                  <c:v>3039.69</c:v>
                </c:pt>
                <c:pt idx="39">
                  <c:v>3141.0</c:v>
                </c:pt>
                <c:pt idx="40">
                  <c:v>3300.0</c:v>
                </c:pt>
                <c:pt idx="41">
                  <c:v>3477.29</c:v>
                </c:pt>
                <c:pt idx="42">
                  <c:v>3655.28</c:v>
                </c:pt>
                <c:pt idx="43">
                  <c:v>3792.34</c:v>
                </c:pt>
                <c:pt idx="44">
                  <c:v>4134.3</c:v>
                </c:pt>
                <c:pt idx="45">
                  <c:v>4513.09</c:v>
                </c:pt>
                <c:pt idx="46">
                  <c:v>4809.3</c:v>
                </c:pt>
                <c:pt idx="47">
                  <c:v>4936.75</c:v>
                </c:pt>
                <c:pt idx="48">
                  <c:v>5019.21</c:v>
                </c:pt>
                <c:pt idx="49">
                  <c:v>5100.87</c:v>
                </c:pt>
                <c:pt idx="50">
                  <c:v>5130.49</c:v>
                </c:pt>
                <c:pt idx="51">
                  <c:v>5194.69</c:v>
                </c:pt>
                <c:pt idx="52">
                  <c:v>5355.69</c:v>
                </c:pt>
                <c:pt idx="53">
                  <c:v>5957.55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5360344"/>
        <c:axId val="1865363368"/>
      </c:scatterChart>
      <c:scatterChart>
        <c:scatterStyle val="smoothMarker"/>
        <c:varyColors val="0"/>
        <c:ser>
          <c:idx val="1"/>
          <c:order val="1"/>
          <c:tx>
            <c:strRef>
              <c:f>ZonPaneel_7xAPS500!$C$1</c:f>
              <c:strCache>
                <c:ptCount val="1"/>
                <c:pt idx="0">
                  <c:v>Bespaard</c:v>
                </c:pt>
              </c:strCache>
            </c:strRef>
          </c:tx>
          <c:marker>
            <c:symbol val="square"/>
            <c:size val="4"/>
          </c:marker>
          <c:xVal>
            <c:numRef>
              <c:f>ZonPaneel_7xAPS500!$A$2:$A$2000</c:f>
              <c:numCache>
                <c:formatCode>d\-mmm\-yy</c:formatCode>
                <c:ptCount val="1999"/>
                <c:pt idx="0">
                  <c:v>41884.0</c:v>
                </c:pt>
                <c:pt idx="1">
                  <c:v>41885.0</c:v>
                </c:pt>
                <c:pt idx="2">
                  <c:v>41887.0</c:v>
                </c:pt>
                <c:pt idx="3">
                  <c:v>41890.0</c:v>
                </c:pt>
                <c:pt idx="4">
                  <c:v>41893.0</c:v>
                </c:pt>
                <c:pt idx="5">
                  <c:v>41897.0</c:v>
                </c:pt>
                <c:pt idx="6">
                  <c:v>41904.0</c:v>
                </c:pt>
                <c:pt idx="7">
                  <c:v>41940.0</c:v>
                </c:pt>
                <c:pt idx="8">
                  <c:v>41957.0</c:v>
                </c:pt>
                <c:pt idx="9">
                  <c:v>41978.0</c:v>
                </c:pt>
                <c:pt idx="10">
                  <c:v>42011.0</c:v>
                </c:pt>
                <c:pt idx="11">
                  <c:v>42033.0</c:v>
                </c:pt>
                <c:pt idx="12">
                  <c:v>42058.0</c:v>
                </c:pt>
                <c:pt idx="13">
                  <c:v>42062.0</c:v>
                </c:pt>
                <c:pt idx="14">
                  <c:v>42064.0</c:v>
                </c:pt>
                <c:pt idx="15">
                  <c:v>42078.0</c:v>
                </c:pt>
                <c:pt idx="16">
                  <c:v>42099.0</c:v>
                </c:pt>
                <c:pt idx="17">
                  <c:v>42109.0</c:v>
                </c:pt>
                <c:pt idx="18">
                  <c:v>42122.0</c:v>
                </c:pt>
                <c:pt idx="19">
                  <c:v>42125.0</c:v>
                </c:pt>
                <c:pt idx="20">
                  <c:v>42140.0</c:v>
                </c:pt>
                <c:pt idx="21">
                  <c:v>42156.0</c:v>
                </c:pt>
                <c:pt idx="22">
                  <c:v>42169.0</c:v>
                </c:pt>
                <c:pt idx="23">
                  <c:v>42193.0</c:v>
                </c:pt>
                <c:pt idx="24">
                  <c:v>42203.0</c:v>
                </c:pt>
                <c:pt idx="25">
                  <c:v>42219.0</c:v>
                </c:pt>
                <c:pt idx="26">
                  <c:v>42232.0</c:v>
                </c:pt>
                <c:pt idx="27">
                  <c:v>42245.0</c:v>
                </c:pt>
                <c:pt idx="28">
                  <c:v>42284.0</c:v>
                </c:pt>
                <c:pt idx="29">
                  <c:v>42294.0</c:v>
                </c:pt>
                <c:pt idx="30">
                  <c:v>42309.0</c:v>
                </c:pt>
                <c:pt idx="31">
                  <c:v>42322.0</c:v>
                </c:pt>
                <c:pt idx="32">
                  <c:v>42358.0</c:v>
                </c:pt>
                <c:pt idx="33">
                  <c:v>42371.0</c:v>
                </c:pt>
                <c:pt idx="34">
                  <c:v>42386.0</c:v>
                </c:pt>
                <c:pt idx="35">
                  <c:v>42403.0</c:v>
                </c:pt>
                <c:pt idx="36">
                  <c:v>42422.0</c:v>
                </c:pt>
                <c:pt idx="37">
                  <c:v>42430.0</c:v>
                </c:pt>
                <c:pt idx="38">
                  <c:v>42444.0</c:v>
                </c:pt>
                <c:pt idx="39">
                  <c:v>42461.0</c:v>
                </c:pt>
                <c:pt idx="40">
                  <c:v>42478.0</c:v>
                </c:pt>
                <c:pt idx="41">
                  <c:v>42493.0</c:v>
                </c:pt>
                <c:pt idx="42">
                  <c:v>42506.0</c:v>
                </c:pt>
                <c:pt idx="43">
                  <c:v>42522.0</c:v>
                </c:pt>
                <c:pt idx="44">
                  <c:v>42552.0</c:v>
                </c:pt>
                <c:pt idx="45">
                  <c:v>42585.0</c:v>
                </c:pt>
                <c:pt idx="46">
                  <c:v>42619.0</c:v>
                </c:pt>
                <c:pt idx="47">
                  <c:v>42644.0</c:v>
                </c:pt>
                <c:pt idx="48">
                  <c:v>42675.0</c:v>
                </c:pt>
                <c:pt idx="49">
                  <c:v>42746.0</c:v>
                </c:pt>
                <c:pt idx="50">
                  <c:v>42767.0</c:v>
                </c:pt>
                <c:pt idx="51">
                  <c:v>42795.0</c:v>
                </c:pt>
                <c:pt idx="52">
                  <c:v>42826.0</c:v>
                </c:pt>
                <c:pt idx="53">
                  <c:v>42887.0</c:v>
                </c:pt>
              </c:numCache>
            </c:numRef>
          </c:xVal>
          <c:yVal>
            <c:numRef>
              <c:f>ZonPaneel_7xAPS500!$C$2:$C$2000</c:f>
              <c:numCache>
                <c:formatCode>"€"\ #,##0.00</c:formatCode>
                <c:ptCount val="1999"/>
                <c:pt idx="0">
                  <c:v>0.0</c:v>
                </c:pt>
                <c:pt idx="1">
                  <c:v>2.048578</c:v>
                </c:pt>
                <c:pt idx="2">
                  <c:v>5.692232000000001</c:v>
                </c:pt>
                <c:pt idx="3">
                  <c:v>10.390334</c:v>
                </c:pt>
                <c:pt idx="4">
                  <c:v>13.61623</c:v>
                </c:pt>
                <c:pt idx="5">
                  <c:v>20.970558</c:v>
                </c:pt>
                <c:pt idx="6">
                  <c:v>30.029428</c:v>
                </c:pt>
                <c:pt idx="7">
                  <c:v>58.320804</c:v>
                </c:pt>
                <c:pt idx="8">
                  <c:v>66.07055</c:v>
                </c:pt>
                <c:pt idx="9">
                  <c:v>71.995118</c:v>
                </c:pt>
                <c:pt idx="10">
                  <c:v>78.163192</c:v>
                </c:pt>
                <c:pt idx="11">
                  <c:v>83.73550762999998</c:v>
                </c:pt>
                <c:pt idx="12">
                  <c:v>97.80199331499999</c:v>
                </c:pt>
                <c:pt idx="13">
                  <c:v>101.96262647</c:v>
                </c:pt>
                <c:pt idx="14">
                  <c:v>104.205997845</c:v>
                </c:pt>
                <c:pt idx="15">
                  <c:v>120.04967139</c:v>
                </c:pt>
                <c:pt idx="16">
                  <c:v>148.79108885</c:v>
                </c:pt>
                <c:pt idx="17">
                  <c:v>174.102883925</c:v>
                </c:pt>
                <c:pt idx="18">
                  <c:v>209.484680655</c:v>
                </c:pt>
                <c:pt idx="19">
                  <c:v>217.088068125</c:v>
                </c:pt>
                <c:pt idx="20">
                  <c:v>262.03647586</c:v>
                </c:pt>
                <c:pt idx="21">
                  <c:v>303.62092086</c:v>
                </c:pt>
                <c:pt idx="22">
                  <c:v>327.25839486</c:v>
                </c:pt>
                <c:pt idx="23">
                  <c:v>424.24810986</c:v>
                </c:pt>
                <c:pt idx="24">
                  <c:v>450.97416466</c:v>
                </c:pt>
                <c:pt idx="25">
                  <c:v>489.98558336</c:v>
                </c:pt>
                <c:pt idx="26">
                  <c:v>519.68598942</c:v>
                </c:pt>
                <c:pt idx="27">
                  <c:v>540.9375136399999</c:v>
                </c:pt>
                <c:pt idx="28">
                  <c:v>588.26849456</c:v>
                </c:pt>
                <c:pt idx="29">
                  <c:v>593.0102139599999</c:v>
                </c:pt>
                <c:pt idx="30">
                  <c:v>601.0711369399998</c:v>
                </c:pt>
                <c:pt idx="31">
                  <c:v>605.9745058649999</c:v>
                </c:pt>
                <c:pt idx="32">
                  <c:v>615.9127186619999</c:v>
                </c:pt>
                <c:pt idx="33">
                  <c:v>619.0498860029998</c:v>
                </c:pt>
                <c:pt idx="34">
                  <c:v>622.1889443429997</c:v>
                </c:pt>
                <c:pt idx="35">
                  <c:v>626.5892990159998</c:v>
                </c:pt>
                <c:pt idx="36">
                  <c:v>636.0613130069999</c:v>
                </c:pt>
                <c:pt idx="37">
                  <c:v>642.1843677689998</c:v>
                </c:pt>
                <c:pt idx="38">
                  <c:v>656.0832104189999</c:v>
                </c:pt>
                <c:pt idx="39">
                  <c:v>675.2409212879999</c:v>
                </c:pt>
                <c:pt idx="40">
                  <c:v>705.3078053879999</c:v>
                </c:pt>
                <c:pt idx="41">
                  <c:v>738.833326659</c:v>
                </c:pt>
                <c:pt idx="42">
                  <c:v>772.49121786</c:v>
                </c:pt>
                <c:pt idx="43">
                  <c:v>798.409250154</c:v>
                </c:pt>
                <c:pt idx="44">
                  <c:v>861.982486618</c:v>
                </c:pt>
                <c:pt idx="45">
                  <c:v>932.402729454</c:v>
                </c:pt>
                <c:pt idx="46">
                  <c:v>987.470656618</c:v>
                </c:pt>
                <c:pt idx="47">
                  <c:v>1011.164682198</c:v>
                </c:pt>
                <c:pt idx="48">
                  <c:v>1026.494688862</c:v>
                </c:pt>
                <c:pt idx="49">
                  <c:v>1041.503094586</c:v>
                </c:pt>
                <c:pt idx="50">
                  <c:v>1046.946995854</c:v>
                </c:pt>
                <c:pt idx="51">
                  <c:v>1058.746403734</c:v>
                </c:pt>
                <c:pt idx="52">
                  <c:v>1088.336819134</c:v>
                </c:pt>
                <c:pt idx="53">
                  <c:v>1198.953511138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5369704"/>
        <c:axId val="1865366408"/>
      </c:scatterChart>
      <c:valAx>
        <c:axId val="1865360344"/>
        <c:scaling>
          <c:orientation val="minMax"/>
        </c:scaling>
        <c:delete val="0"/>
        <c:axPos val="b"/>
        <c:majorGridlines/>
        <c:numFmt formatCode="d\-mmm\-yy" sourceLinked="1"/>
        <c:majorTickMark val="out"/>
        <c:minorTickMark val="none"/>
        <c:tickLblPos val="nextTo"/>
        <c:txPr>
          <a:bodyPr rot="-1260000"/>
          <a:lstStyle/>
          <a:p>
            <a:pPr>
              <a:defRPr/>
            </a:pPr>
            <a:endParaRPr lang="en-US"/>
          </a:p>
        </c:txPr>
        <c:crossAx val="1865363368"/>
        <c:crosses val="autoZero"/>
        <c:crossBetween val="midCat"/>
      </c:valAx>
      <c:valAx>
        <c:axId val="1865363368"/>
        <c:scaling>
          <c:orientation val="minMax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5360344"/>
        <c:crosses val="autoZero"/>
        <c:crossBetween val="midCat"/>
      </c:valAx>
      <c:valAx>
        <c:axId val="1865366408"/>
        <c:scaling>
          <c:orientation val="minMax"/>
          <c:min val="0.0"/>
        </c:scaling>
        <c:delete val="0"/>
        <c:axPos val="r"/>
        <c:numFmt formatCode="&quot;€&quot;\ #,##0.00" sourceLinked="1"/>
        <c:majorTickMark val="out"/>
        <c:minorTickMark val="none"/>
        <c:tickLblPos val="nextTo"/>
        <c:crossAx val="1865369704"/>
        <c:crosses val="max"/>
        <c:crossBetween val="midCat"/>
      </c:valAx>
      <c:valAx>
        <c:axId val="1865369704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one"/>
        <c:crossAx val="18653664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1.0" l="0.750000000000003" r="0.750000000000003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ZonPaneel_3xBenQ!$B$1</c:f>
              <c:strCache>
                <c:ptCount val="1"/>
                <c:pt idx="0">
                  <c:v>kWh -stand</c:v>
                </c:pt>
              </c:strCache>
            </c:strRef>
          </c:tx>
          <c:marker>
            <c:symbol val="diamond"/>
            <c:size val="6"/>
          </c:marker>
          <c:xVal>
            <c:numRef>
              <c:f>ZonPaneel_3xBenQ!$A$2:$A$2000</c:f>
              <c:numCache>
                <c:formatCode>d\-mmm\-yy</c:formatCode>
                <c:ptCount val="1999"/>
                <c:pt idx="0">
                  <c:v>42055.0</c:v>
                </c:pt>
                <c:pt idx="1">
                  <c:v>42058.0</c:v>
                </c:pt>
                <c:pt idx="2">
                  <c:v>42062.0</c:v>
                </c:pt>
                <c:pt idx="3">
                  <c:v>42064.0</c:v>
                </c:pt>
                <c:pt idx="4">
                  <c:v>42078.0</c:v>
                </c:pt>
                <c:pt idx="5">
                  <c:v>42099.0</c:v>
                </c:pt>
                <c:pt idx="6">
                  <c:v>42109.0</c:v>
                </c:pt>
                <c:pt idx="7">
                  <c:v>42122.0</c:v>
                </c:pt>
                <c:pt idx="8">
                  <c:v>42125.0</c:v>
                </c:pt>
                <c:pt idx="9">
                  <c:v>42140.0</c:v>
                </c:pt>
                <c:pt idx="10">
                  <c:v>42156.0</c:v>
                </c:pt>
                <c:pt idx="11">
                  <c:v>42169.0</c:v>
                </c:pt>
                <c:pt idx="12">
                  <c:v>42193.0</c:v>
                </c:pt>
                <c:pt idx="13">
                  <c:v>42203.0</c:v>
                </c:pt>
                <c:pt idx="14">
                  <c:v>42219.0</c:v>
                </c:pt>
                <c:pt idx="15">
                  <c:v>42232.0</c:v>
                </c:pt>
                <c:pt idx="16">
                  <c:v>42245.0</c:v>
                </c:pt>
                <c:pt idx="17">
                  <c:v>42284.0</c:v>
                </c:pt>
                <c:pt idx="18">
                  <c:v>42294.0</c:v>
                </c:pt>
                <c:pt idx="19">
                  <c:v>42309.0</c:v>
                </c:pt>
                <c:pt idx="20">
                  <c:v>42322.0</c:v>
                </c:pt>
                <c:pt idx="21">
                  <c:v>42358.0</c:v>
                </c:pt>
                <c:pt idx="22">
                  <c:v>42371.0</c:v>
                </c:pt>
                <c:pt idx="23">
                  <c:v>42386.0</c:v>
                </c:pt>
                <c:pt idx="24">
                  <c:v>42403.0</c:v>
                </c:pt>
                <c:pt idx="25">
                  <c:v>42422.0</c:v>
                </c:pt>
                <c:pt idx="26">
                  <c:v>42430.0</c:v>
                </c:pt>
                <c:pt idx="27">
                  <c:v>42444.0</c:v>
                </c:pt>
                <c:pt idx="28">
                  <c:v>42461.0</c:v>
                </c:pt>
                <c:pt idx="29">
                  <c:v>42478.0</c:v>
                </c:pt>
                <c:pt idx="30">
                  <c:v>42493.0</c:v>
                </c:pt>
                <c:pt idx="31">
                  <c:v>42506.0</c:v>
                </c:pt>
                <c:pt idx="32">
                  <c:v>42522.0</c:v>
                </c:pt>
                <c:pt idx="33">
                  <c:v>42552.0</c:v>
                </c:pt>
                <c:pt idx="34">
                  <c:v>42585.0</c:v>
                </c:pt>
                <c:pt idx="35">
                  <c:v>42619.0</c:v>
                </c:pt>
                <c:pt idx="36">
                  <c:v>42644.0</c:v>
                </c:pt>
                <c:pt idx="37">
                  <c:v>42675.0</c:v>
                </c:pt>
                <c:pt idx="38">
                  <c:v>42746.0</c:v>
                </c:pt>
                <c:pt idx="39">
                  <c:v>42767.0</c:v>
                </c:pt>
                <c:pt idx="40">
                  <c:v>42795.0</c:v>
                </c:pt>
                <c:pt idx="41">
                  <c:v>42826.0</c:v>
                </c:pt>
                <c:pt idx="42">
                  <c:v>42887.0</c:v>
                </c:pt>
              </c:numCache>
            </c:numRef>
          </c:xVal>
          <c:yVal>
            <c:numRef>
              <c:f>ZonPaneel_3xBenQ!$B$2:$B$2000</c:f>
              <c:numCache>
                <c:formatCode>General</c:formatCode>
                <c:ptCount val="1999"/>
                <c:pt idx="0">
                  <c:v>0.0</c:v>
                </c:pt>
                <c:pt idx="1">
                  <c:v>2.7</c:v>
                </c:pt>
                <c:pt idx="2">
                  <c:v>8.64</c:v>
                </c:pt>
                <c:pt idx="3">
                  <c:v>13.1</c:v>
                </c:pt>
                <c:pt idx="4">
                  <c:v>44.27</c:v>
                </c:pt>
                <c:pt idx="5">
                  <c:v>94.26</c:v>
                </c:pt>
                <c:pt idx="6">
                  <c:v>138.04</c:v>
                </c:pt>
                <c:pt idx="7">
                  <c:v>197.52</c:v>
                </c:pt>
                <c:pt idx="8">
                  <c:v>209.91</c:v>
                </c:pt>
                <c:pt idx="9">
                  <c:v>280.86</c:v>
                </c:pt>
                <c:pt idx="10">
                  <c:v>343.3</c:v>
                </c:pt>
                <c:pt idx="11">
                  <c:v>414.94</c:v>
                </c:pt>
                <c:pt idx="12">
                  <c:v>528.3</c:v>
                </c:pt>
                <c:pt idx="13">
                  <c:v>570.0</c:v>
                </c:pt>
                <c:pt idx="14">
                  <c:v>633.0</c:v>
                </c:pt>
                <c:pt idx="15">
                  <c:v>684.0</c:v>
                </c:pt>
                <c:pt idx="16">
                  <c:v>726.0</c:v>
                </c:pt>
                <c:pt idx="17">
                  <c:v>825.33</c:v>
                </c:pt>
                <c:pt idx="18">
                  <c:v>836.0</c:v>
                </c:pt>
                <c:pt idx="19">
                  <c:v>851.6</c:v>
                </c:pt>
                <c:pt idx="20">
                  <c:v>859.8</c:v>
                </c:pt>
                <c:pt idx="21">
                  <c:v>877.0</c:v>
                </c:pt>
                <c:pt idx="22">
                  <c:v>883.38</c:v>
                </c:pt>
                <c:pt idx="23">
                  <c:v>889.42</c:v>
                </c:pt>
                <c:pt idx="24">
                  <c:v>898.4</c:v>
                </c:pt>
                <c:pt idx="25">
                  <c:v>918.4</c:v>
                </c:pt>
                <c:pt idx="26">
                  <c:v>933.38</c:v>
                </c:pt>
                <c:pt idx="27">
                  <c:v>964.09</c:v>
                </c:pt>
                <c:pt idx="28">
                  <c:v>1003.7</c:v>
                </c:pt>
                <c:pt idx="29">
                  <c:v>1064.6</c:v>
                </c:pt>
                <c:pt idx="30">
                  <c:v>1126.8</c:v>
                </c:pt>
                <c:pt idx="31">
                  <c:v>1191.7</c:v>
                </c:pt>
                <c:pt idx="32">
                  <c:v>1235.9</c:v>
                </c:pt>
                <c:pt idx="33">
                  <c:v>1348.9</c:v>
                </c:pt>
                <c:pt idx="34">
                  <c:v>1478.5</c:v>
                </c:pt>
                <c:pt idx="35">
                  <c:v>1607.3</c:v>
                </c:pt>
                <c:pt idx="36">
                  <c:v>1677.7</c:v>
                </c:pt>
                <c:pt idx="37">
                  <c:v>1713.2</c:v>
                </c:pt>
                <c:pt idx="38">
                  <c:v>1744.6</c:v>
                </c:pt>
                <c:pt idx="39">
                  <c:v>1757.3</c:v>
                </c:pt>
                <c:pt idx="40">
                  <c:v>1780.1</c:v>
                </c:pt>
                <c:pt idx="41">
                  <c:v>1855.18</c:v>
                </c:pt>
                <c:pt idx="42">
                  <c:v>2078.3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1823832"/>
        <c:axId val="1871826856"/>
      </c:scatterChart>
      <c:scatterChart>
        <c:scatterStyle val="smoothMarker"/>
        <c:varyColors val="0"/>
        <c:ser>
          <c:idx val="1"/>
          <c:order val="1"/>
          <c:tx>
            <c:strRef>
              <c:f>ZonPaneel_3xBenQ!$C$1</c:f>
              <c:strCache>
                <c:ptCount val="1"/>
                <c:pt idx="0">
                  <c:v>Bespaard</c:v>
                </c:pt>
              </c:strCache>
            </c:strRef>
          </c:tx>
          <c:marker>
            <c:symbol val="square"/>
            <c:size val="4"/>
          </c:marker>
          <c:xVal>
            <c:numRef>
              <c:f>ZonPaneel_3xBenQ!$A$2:$A$2000</c:f>
              <c:numCache>
                <c:formatCode>d\-mmm\-yy</c:formatCode>
                <c:ptCount val="1999"/>
                <c:pt idx="0">
                  <c:v>42055.0</c:v>
                </c:pt>
                <c:pt idx="1">
                  <c:v>42058.0</c:v>
                </c:pt>
                <c:pt idx="2">
                  <c:v>42062.0</c:v>
                </c:pt>
                <c:pt idx="3">
                  <c:v>42064.0</c:v>
                </c:pt>
                <c:pt idx="4">
                  <c:v>42078.0</c:v>
                </c:pt>
                <c:pt idx="5">
                  <c:v>42099.0</c:v>
                </c:pt>
                <c:pt idx="6">
                  <c:v>42109.0</c:v>
                </c:pt>
                <c:pt idx="7">
                  <c:v>42122.0</c:v>
                </c:pt>
                <c:pt idx="8">
                  <c:v>42125.0</c:v>
                </c:pt>
                <c:pt idx="9">
                  <c:v>42140.0</c:v>
                </c:pt>
                <c:pt idx="10">
                  <c:v>42156.0</c:v>
                </c:pt>
                <c:pt idx="11">
                  <c:v>42169.0</c:v>
                </c:pt>
                <c:pt idx="12">
                  <c:v>42193.0</c:v>
                </c:pt>
                <c:pt idx="13">
                  <c:v>42203.0</c:v>
                </c:pt>
                <c:pt idx="14">
                  <c:v>42219.0</c:v>
                </c:pt>
                <c:pt idx="15">
                  <c:v>42232.0</c:v>
                </c:pt>
                <c:pt idx="16">
                  <c:v>42245.0</c:v>
                </c:pt>
                <c:pt idx="17">
                  <c:v>42284.0</c:v>
                </c:pt>
                <c:pt idx="18">
                  <c:v>42294.0</c:v>
                </c:pt>
                <c:pt idx="19">
                  <c:v>42309.0</c:v>
                </c:pt>
                <c:pt idx="20">
                  <c:v>42322.0</c:v>
                </c:pt>
                <c:pt idx="21">
                  <c:v>42358.0</c:v>
                </c:pt>
                <c:pt idx="22">
                  <c:v>42371.0</c:v>
                </c:pt>
                <c:pt idx="23">
                  <c:v>42386.0</c:v>
                </c:pt>
                <c:pt idx="24">
                  <c:v>42403.0</c:v>
                </c:pt>
                <c:pt idx="25">
                  <c:v>42422.0</c:v>
                </c:pt>
                <c:pt idx="26">
                  <c:v>42430.0</c:v>
                </c:pt>
                <c:pt idx="27">
                  <c:v>42444.0</c:v>
                </c:pt>
                <c:pt idx="28">
                  <c:v>42461.0</c:v>
                </c:pt>
                <c:pt idx="29">
                  <c:v>42478.0</c:v>
                </c:pt>
                <c:pt idx="30">
                  <c:v>42493.0</c:v>
                </c:pt>
                <c:pt idx="31">
                  <c:v>42506.0</c:v>
                </c:pt>
                <c:pt idx="32">
                  <c:v>42522.0</c:v>
                </c:pt>
                <c:pt idx="33">
                  <c:v>42552.0</c:v>
                </c:pt>
                <c:pt idx="34">
                  <c:v>42585.0</c:v>
                </c:pt>
                <c:pt idx="35">
                  <c:v>42619.0</c:v>
                </c:pt>
                <c:pt idx="36">
                  <c:v>42644.0</c:v>
                </c:pt>
                <c:pt idx="37">
                  <c:v>42675.0</c:v>
                </c:pt>
                <c:pt idx="38">
                  <c:v>42746.0</c:v>
                </c:pt>
                <c:pt idx="39">
                  <c:v>42767.0</c:v>
                </c:pt>
                <c:pt idx="40">
                  <c:v>42795.0</c:v>
                </c:pt>
                <c:pt idx="41">
                  <c:v>42826.0</c:v>
                </c:pt>
                <c:pt idx="42">
                  <c:v>42887.0</c:v>
                </c:pt>
              </c:numCache>
            </c:numRef>
          </c:xVal>
          <c:yVal>
            <c:numRef>
              <c:f>ZonPaneel_3xBenQ!$C$2:$C$2000</c:f>
              <c:numCache>
                <c:formatCode>"€"\ #,##0.00</c:formatCode>
                <c:ptCount val="1999"/>
                <c:pt idx="0">
                  <c:v>0.0</c:v>
                </c:pt>
                <c:pt idx="1">
                  <c:v>0.59093685</c:v>
                </c:pt>
                <c:pt idx="2">
                  <c:v>1.89099792</c:v>
                </c:pt>
                <c:pt idx="3">
                  <c:v>2.86713805</c:v>
                </c:pt>
                <c:pt idx="4">
                  <c:v>9.689175685</c:v>
                </c:pt>
                <c:pt idx="5">
                  <c:v>20.63026203</c:v>
                </c:pt>
                <c:pt idx="6">
                  <c:v>30.21219362</c:v>
                </c:pt>
                <c:pt idx="7">
                  <c:v>43.23031356</c:v>
                </c:pt>
                <c:pt idx="8">
                  <c:v>45.942057105</c:v>
                </c:pt>
                <c:pt idx="9">
                  <c:v>61.47056433</c:v>
                </c:pt>
                <c:pt idx="10">
                  <c:v>75.13652615000001</c:v>
                </c:pt>
                <c:pt idx="11">
                  <c:v>90.81605057</c:v>
                </c:pt>
                <c:pt idx="12">
                  <c:v>115.248837442</c:v>
                </c:pt>
                <c:pt idx="13">
                  <c:v>124.236551032</c:v>
                </c:pt>
                <c:pt idx="14">
                  <c:v>137.815111132</c:v>
                </c:pt>
                <c:pt idx="15">
                  <c:v>148.807278832</c:v>
                </c:pt>
                <c:pt idx="16">
                  <c:v>157.859652232</c:v>
                </c:pt>
                <c:pt idx="17">
                  <c:v>179.268515323</c:v>
                </c:pt>
                <c:pt idx="18">
                  <c:v>181.568249232</c:v>
                </c:pt>
                <c:pt idx="19">
                  <c:v>184.930559352</c:v>
                </c:pt>
                <c:pt idx="20">
                  <c:v>186.697927492</c:v>
                </c:pt>
                <c:pt idx="21">
                  <c:v>190.405089932</c:v>
                </c:pt>
                <c:pt idx="22">
                  <c:v>191.611547294</c:v>
                </c:pt>
                <c:pt idx="23">
                  <c:v>192.75371069</c:v>
                </c:pt>
                <c:pt idx="24">
                  <c:v>194.451827792</c:v>
                </c:pt>
                <c:pt idx="25">
                  <c:v>198.233825792</c:v>
                </c:pt>
                <c:pt idx="26">
                  <c:v>201.066542294</c:v>
                </c:pt>
                <c:pt idx="27">
                  <c:v>206.873800223</c:v>
                </c:pt>
                <c:pt idx="28">
                  <c:v>214.364047262</c:v>
                </c:pt>
                <c:pt idx="29">
                  <c:v>225.880231172</c:v>
                </c:pt>
                <c:pt idx="30">
                  <c:v>237.642244952</c:v>
                </c:pt>
                <c:pt idx="31">
                  <c:v>249.914828462</c:v>
                </c:pt>
                <c:pt idx="32">
                  <c:v>258.273044042</c:v>
                </c:pt>
                <c:pt idx="33">
                  <c:v>279.280693242</c:v>
                </c:pt>
                <c:pt idx="34">
                  <c:v>303.374421882</c:v>
                </c:pt>
                <c:pt idx="35">
                  <c:v>327.319423802</c:v>
                </c:pt>
                <c:pt idx="36">
                  <c:v>340.4073751620001</c:v>
                </c:pt>
                <c:pt idx="37">
                  <c:v>347.0071233620001</c:v>
                </c:pt>
                <c:pt idx="38">
                  <c:v>352.778173322</c:v>
                </c:pt>
                <c:pt idx="39">
                  <c:v>355.1123241020001</c:v>
                </c:pt>
                <c:pt idx="40">
                  <c:v>359.3027680220001</c:v>
                </c:pt>
                <c:pt idx="41">
                  <c:v>373.101826334</c:v>
                </c:pt>
                <c:pt idx="42">
                  <c:v>414.1093635020001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1833192"/>
        <c:axId val="1871829896"/>
      </c:scatterChart>
      <c:valAx>
        <c:axId val="1871823832"/>
        <c:scaling>
          <c:orientation val="minMax"/>
        </c:scaling>
        <c:delete val="0"/>
        <c:axPos val="b"/>
        <c:majorGridlines/>
        <c:numFmt formatCode="d\-mmm\-yy" sourceLinked="1"/>
        <c:majorTickMark val="out"/>
        <c:minorTickMark val="none"/>
        <c:tickLblPos val="nextTo"/>
        <c:txPr>
          <a:bodyPr rot="-1260000"/>
          <a:lstStyle/>
          <a:p>
            <a:pPr>
              <a:defRPr/>
            </a:pPr>
            <a:endParaRPr lang="en-US"/>
          </a:p>
        </c:txPr>
        <c:crossAx val="1871826856"/>
        <c:crosses val="autoZero"/>
        <c:crossBetween val="midCat"/>
      </c:valAx>
      <c:valAx>
        <c:axId val="1871826856"/>
        <c:scaling>
          <c:orientation val="minMax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71823832"/>
        <c:crosses val="autoZero"/>
        <c:crossBetween val="midCat"/>
      </c:valAx>
      <c:valAx>
        <c:axId val="1871829896"/>
        <c:scaling>
          <c:orientation val="minMax"/>
          <c:min val="0.0"/>
        </c:scaling>
        <c:delete val="0"/>
        <c:axPos val="r"/>
        <c:numFmt formatCode="&quot;€&quot;\ #,##0.00" sourceLinked="1"/>
        <c:majorTickMark val="out"/>
        <c:minorTickMark val="none"/>
        <c:tickLblPos val="nextTo"/>
        <c:crossAx val="1871833192"/>
        <c:crosses val="max"/>
        <c:crossBetween val="midCat"/>
      </c:valAx>
      <c:valAx>
        <c:axId val="1871833192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one"/>
        <c:crossAx val="18718298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1.0" l="0.750000000000003" r="0.750000000000003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ZonPaneel_18xKyocera2eh!$B$1</c:f>
              <c:strCache>
                <c:ptCount val="1"/>
                <c:pt idx="0">
                  <c:v>kWh-stand1</c:v>
                </c:pt>
              </c:strCache>
            </c:strRef>
          </c:tx>
          <c:marker>
            <c:symbol val="diamond"/>
            <c:size val="6"/>
          </c:marker>
          <c:xVal>
            <c:numRef>
              <c:f>ZonPaneel_18xKyocera2eh!$A$2:$A$2000</c:f>
              <c:numCache>
                <c:formatCode>d\-mmm\-yy</c:formatCode>
                <c:ptCount val="1999"/>
                <c:pt idx="0">
                  <c:v>42078.0</c:v>
                </c:pt>
                <c:pt idx="1">
                  <c:v>42099.0</c:v>
                </c:pt>
                <c:pt idx="2">
                  <c:v>42109.0</c:v>
                </c:pt>
                <c:pt idx="3">
                  <c:v>42122.0</c:v>
                </c:pt>
                <c:pt idx="4">
                  <c:v>42125.0</c:v>
                </c:pt>
                <c:pt idx="5">
                  <c:v>42140.0</c:v>
                </c:pt>
                <c:pt idx="6">
                  <c:v>42156.0</c:v>
                </c:pt>
                <c:pt idx="7">
                  <c:v>42169.0</c:v>
                </c:pt>
                <c:pt idx="8">
                  <c:v>42193.0</c:v>
                </c:pt>
                <c:pt idx="9">
                  <c:v>42203.0</c:v>
                </c:pt>
                <c:pt idx="10">
                  <c:v>42219.0</c:v>
                </c:pt>
                <c:pt idx="11">
                  <c:v>42232.0</c:v>
                </c:pt>
                <c:pt idx="12">
                  <c:v>42245.0</c:v>
                </c:pt>
                <c:pt idx="13">
                  <c:v>42284.0</c:v>
                </c:pt>
                <c:pt idx="14">
                  <c:v>42294.0</c:v>
                </c:pt>
                <c:pt idx="15">
                  <c:v>42309.0</c:v>
                </c:pt>
                <c:pt idx="16">
                  <c:v>42322.0</c:v>
                </c:pt>
                <c:pt idx="17">
                  <c:v>42358.0</c:v>
                </c:pt>
                <c:pt idx="18">
                  <c:v>42371.0</c:v>
                </c:pt>
                <c:pt idx="19">
                  <c:v>42386.0</c:v>
                </c:pt>
                <c:pt idx="20">
                  <c:v>42403.0</c:v>
                </c:pt>
                <c:pt idx="21">
                  <c:v>42422.0</c:v>
                </c:pt>
                <c:pt idx="22">
                  <c:v>42430.0</c:v>
                </c:pt>
                <c:pt idx="23">
                  <c:v>42444.0</c:v>
                </c:pt>
                <c:pt idx="24">
                  <c:v>42461.0</c:v>
                </c:pt>
                <c:pt idx="25">
                  <c:v>42478.0</c:v>
                </c:pt>
                <c:pt idx="26">
                  <c:v>42493.0</c:v>
                </c:pt>
                <c:pt idx="27">
                  <c:v>42506.0</c:v>
                </c:pt>
                <c:pt idx="28">
                  <c:v>42522.0</c:v>
                </c:pt>
                <c:pt idx="29">
                  <c:v>42552.0</c:v>
                </c:pt>
                <c:pt idx="30">
                  <c:v>42585.0</c:v>
                </c:pt>
                <c:pt idx="31">
                  <c:v>42619.0</c:v>
                </c:pt>
                <c:pt idx="32">
                  <c:v>42644.0</c:v>
                </c:pt>
                <c:pt idx="33">
                  <c:v>42675.0</c:v>
                </c:pt>
                <c:pt idx="34">
                  <c:v>42746.0</c:v>
                </c:pt>
                <c:pt idx="35">
                  <c:v>42767.0</c:v>
                </c:pt>
                <c:pt idx="36">
                  <c:v>42795.0</c:v>
                </c:pt>
                <c:pt idx="37">
                  <c:v>42826.0</c:v>
                </c:pt>
                <c:pt idx="38">
                  <c:v>42887.0</c:v>
                </c:pt>
              </c:numCache>
            </c:numRef>
          </c:xVal>
          <c:yVal>
            <c:numRef>
              <c:f>ZonPaneel_18xKyocera2eh!$B$2:$B$2000</c:f>
              <c:numCache>
                <c:formatCode>General</c:formatCode>
                <c:ptCount val="1999"/>
                <c:pt idx="0">
                  <c:v>0.0</c:v>
                </c:pt>
                <c:pt idx="1">
                  <c:v>24.60000000000036</c:v>
                </c:pt>
                <c:pt idx="2">
                  <c:v>44.5</c:v>
                </c:pt>
                <c:pt idx="3">
                  <c:v>74.89999999999963</c:v>
                </c:pt>
                <c:pt idx="4">
                  <c:v>82.60000000000036</c:v>
                </c:pt>
                <c:pt idx="5">
                  <c:v>128.7999999999993</c:v>
                </c:pt>
                <c:pt idx="6">
                  <c:v>177.7000000000007</c:v>
                </c:pt>
                <c:pt idx="7">
                  <c:v>229.0</c:v>
                </c:pt>
                <c:pt idx="8">
                  <c:v>315.1000000000004</c:v>
                </c:pt>
                <c:pt idx="9">
                  <c:v>346.0</c:v>
                </c:pt>
                <c:pt idx="10">
                  <c:v>388.3999999999996</c:v>
                </c:pt>
                <c:pt idx="11">
                  <c:v>421.1000000000004</c:v>
                </c:pt>
                <c:pt idx="12">
                  <c:v>441.3999999999996</c:v>
                </c:pt>
                <c:pt idx="13">
                  <c:v>486.7999999999993</c:v>
                </c:pt>
                <c:pt idx="14">
                  <c:v>492.7999999999993</c:v>
                </c:pt>
                <c:pt idx="15">
                  <c:v>500.3999999999996</c:v>
                </c:pt>
                <c:pt idx="16">
                  <c:v>505.6000000000004</c:v>
                </c:pt>
                <c:pt idx="17">
                  <c:v>513.8999999999996</c:v>
                </c:pt>
                <c:pt idx="18">
                  <c:v>516.6000000000003</c:v>
                </c:pt>
                <c:pt idx="19">
                  <c:v>519.7000000000007</c:v>
                </c:pt>
                <c:pt idx="20">
                  <c:v>523.6000000000003</c:v>
                </c:pt>
                <c:pt idx="21">
                  <c:v>531.7999999999992</c:v>
                </c:pt>
                <c:pt idx="22">
                  <c:v>536.3999999999996</c:v>
                </c:pt>
                <c:pt idx="23">
                  <c:v>547.8999999999996</c:v>
                </c:pt>
                <c:pt idx="24">
                  <c:v>567.3999999999996</c:v>
                </c:pt>
                <c:pt idx="25">
                  <c:v>597.2000000000007</c:v>
                </c:pt>
                <c:pt idx="26">
                  <c:v>632.2000000000007</c:v>
                </c:pt>
                <c:pt idx="27">
                  <c:v>671.6000000000003</c:v>
                </c:pt>
                <c:pt idx="28">
                  <c:v>710.0</c:v>
                </c:pt>
                <c:pt idx="29">
                  <c:v>801.8999999999996</c:v>
                </c:pt>
                <c:pt idx="30">
                  <c:v>903.7000000000007</c:v>
                </c:pt>
                <c:pt idx="31">
                  <c:v>976.8999999999996</c:v>
                </c:pt>
                <c:pt idx="32">
                  <c:v>1004.1</c:v>
                </c:pt>
                <c:pt idx="33">
                  <c:v>1023.700000000001</c:v>
                </c:pt>
                <c:pt idx="34">
                  <c:v>1040.799999999999</c:v>
                </c:pt>
                <c:pt idx="35">
                  <c:v>1046.200000000001</c:v>
                </c:pt>
                <c:pt idx="36">
                  <c:v>1059.0</c:v>
                </c:pt>
                <c:pt idx="37">
                  <c:v>1089.200000000001</c:v>
                </c:pt>
                <c:pt idx="38">
                  <c:v>1235.1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1947064"/>
        <c:axId val="1871950120"/>
      </c:scatterChart>
      <c:scatterChart>
        <c:scatterStyle val="smoothMarker"/>
        <c:varyColors val="0"/>
        <c:ser>
          <c:idx val="2"/>
          <c:order val="1"/>
          <c:tx>
            <c:strRef>
              <c:f>ZonPaneel_18xKyocera2eh!$C$1</c:f>
              <c:strCache>
                <c:ptCount val="1"/>
                <c:pt idx="0">
                  <c:v>kWh-stand2</c:v>
                </c:pt>
              </c:strCache>
            </c:strRef>
          </c:tx>
          <c:xVal>
            <c:numRef>
              <c:f>ZonPaneel_18xKyocera2eh!$A$2:$A$2000</c:f>
              <c:numCache>
                <c:formatCode>d\-mmm\-yy</c:formatCode>
                <c:ptCount val="1999"/>
                <c:pt idx="0">
                  <c:v>42078.0</c:v>
                </c:pt>
                <c:pt idx="1">
                  <c:v>42099.0</c:v>
                </c:pt>
                <c:pt idx="2">
                  <c:v>42109.0</c:v>
                </c:pt>
                <c:pt idx="3">
                  <c:v>42122.0</c:v>
                </c:pt>
                <c:pt idx="4">
                  <c:v>42125.0</c:v>
                </c:pt>
                <c:pt idx="5">
                  <c:v>42140.0</c:v>
                </c:pt>
                <c:pt idx="6">
                  <c:v>42156.0</c:v>
                </c:pt>
                <c:pt idx="7">
                  <c:v>42169.0</c:v>
                </c:pt>
                <c:pt idx="8">
                  <c:v>42193.0</c:v>
                </c:pt>
                <c:pt idx="9">
                  <c:v>42203.0</c:v>
                </c:pt>
                <c:pt idx="10">
                  <c:v>42219.0</c:v>
                </c:pt>
                <c:pt idx="11">
                  <c:v>42232.0</c:v>
                </c:pt>
                <c:pt idx="12">
                  <c:v>42245.0</c:v>
                </c:pt>
                <c:pt idx="13">
                  <c:v>42284.0</c:v>
                </c:pt>
                <c:pt idx="14">
                  <c:v>42294.0</c:v>
                </c:pt>
                <c:pt idx="15">
                  <c:v>42309.0</c:v>
                </c:pt>
                <c:pt idx="16">
                  <c:v>42322.0</c:v>
                </c:pt>
                <c:pt idx="17">
                  <c:v>42358.0</c:v>
                </c:pt>
                <c:pt idx="18">
                  <c:v>42371.0</c:v>
                </c:pt>
                <c:pt idx="19">
                  <c:v>42386.0</c:v>
                </c:pt>
                <c:pt idx="20">
                  <c:v>42403.0</c:v>
                </c:pt>
                <c:pt idx="21">
                  <c:v>42422.0</c:v>
                </c:pt>
                <c:pt idx="22">
                  <c:v>42430.0</c:v>
                </c:pt>
                <c:pt idx="23">
                  <c:v>42444.0</c:v>
                </c:pt>
                <c:pt idx="24">
                  <c:v>42461.0</c:v>
                </c:pt>
                <c:pt idx="25">
                  <c:v>42478.0</c:v>
                </c:pt>
                <c:pt idx="26">
                  <c:v>42493.0</c:v>
                </c:pt>
                <c:pt idx="27">
                  <c:v>42506.0</c:v>
                </c:pt>
                <c:pt idx="28">
                  <c:v>42522.0</c:v>
                </c:pt>
                <c:pt idx="29">
                  <c:v>42552.0</c:v>
                </c:pt>
                <c:pt idx="30">
                  <c:v>42585.0</c:v>
                </c:pt>
                <c:pt idx="31">
                  <c:v>42619.0</c:v>
                </c:pt>
                <c:pt idx="32">
                  <c:v>42644.0</c:v>
                </c:pt>
                <c:pt idx="33">
                  <c:v>42675.0</c:v>
                </c:pt>
                <c:pt idx="34">
                  <c:v>42746.0</c:v>
                </c:pt>
                <c:pt idx="35">
                  <c:v>42767.0</c:v>
                </c:pt>
                <c:pt idx="36">
                  <c:v>42795.0</c:v>
                </c:pt>
                <c:pt idx="37">
                  <c:v>42826.0</c:v>
                </c:pt>
                <c:pt idx="38">
                  <c:v>42887.0</c:v>
                </c:pt>
              </c:numCache>
            </c:numRef>
          </c:xVal>
          <c:yVal>
            <c:numRef>
              <c:f>ZonPaneel_18xKyocera2eh!$C$2:$C$2000</c:f>
              <c:numCache>
                <c:formatCode>General</c:formatCode>
                <c:ptCount val="1999"/>
                <c:pt idx="0">
                  <c:v>0.0</c:v>
                </c:pt>
                <c:pt idx="1">
                  <c:v>26.0</c:v>
                </c:pt>
                <c:pt idx="2">
                  <c:v>46.70000000000072</c:v>
                </c:pt>
                <c:pt idx="3">
                  <c:v>78.30000000000109</c:v>
                </c:pt>
                <c:pt idx="4">
                  <c:v>86.39999999999963</c:v>
                </c:pt>
                <c:pt idx="5">
                  <c:v>134.3000000000011</c:v>
                </c:pt>
                <c:pt idx="6">
                  <c:v>185.2000000000007</c:v>
                </c:pt>
                <c:pt idx="7">
                  <c:v>238.5</c:v>
                </c:pt>
                <c:pt idx="8">
                  <c:v>328.0</c:v>
                </c:pt>
                <c:pt idx="9">
                  <c:v>360.1000000000004</c:v>
                </c:pt>
                <c:pt idx="10">
                  <c:v>404.2000000000007</c:v>
                </c:pt>
                <c:pt idx="11">
                  <c:v>438.1000000000004</c:v>
                </c:pt>
                <c:pt idx="12">
                  <c:v>459.3000000000011</c:v>
                </c:pt>
                <c:pt idx="13">
                  <c:v>507.5</c:v>
                </c:pt>
                <c:pt idx="14">
                  <c:v>513.8999999999996</c:v>
                </c:pt>
                <c:pt idx="15">
                  <c:v>522.2000000000007</c:v>
                </c:pt>
                <c:pt idx="16">
                  <c:v>527.7000000000007</c:v>
                </c:pt>
                <c:pt idx="17">
                  <c:v>536.8999999999996</c:v>
                </c:pt>
                <c:pt idx="18">
                  <c:v>539.8999999999996</c:v>
                </c:pt>
                <c:pt idx="19">
                  <c:v>543.2000000000007</c:v>
                </c:pt>
                <c:pt idx="20">
                  <c:v>547.5</c:v>
                </c:pt>
                <c:pt idx="21">
                  <c:v>556.3999999999996</c:v>
                </c:pt>
                <c:pt idx="22">
                  <c:v>561.3999999999996</c:v>
                </c:pt>
                <c:pt idx="23">
                  <c:v>573.8999999999996</c:v>
                </c:pt>
                <c:pt idx="24">
                  <c:v>594.3000000000011</c:v>
                </c:pt>
                <c:pt idx="25">
                  <c:v>625.3000000000011</c:v>
                </c:pt>
                <c:pt idx="26">
                  <c:v>661.7000000000007</c:v>
                </c:pt>
                <c:pt idx="27">
                  <c:v>692.5</c:v>
                </c:pt>
                <c:pt idx="28">
                  <c:v>742.5</c:v>
                </c:pt>
                <c:pt idx="29">
                  <c:v>838.1000000000003</c:v>
                </c:pt>
                <c:pt idx="30">
                  <c:v>944.1000000000003</c:v>
                </c:pt>
                <c:pt idx="31">
                  <c:v>1020.5</c:v>
                </c:pt>
                <c:pt idx="32">
                  <c:v>1049.300000000001</c:v>
                </c:pt>
                <c:pt idx="33">
                  <c:v>1070.4</c:v>
                </c:pt>
                <c:pt idx="34">
                  <c:v>1089.300000000001</c:v>
                </c:pt>
                <c:pt idx="35">
                  <c:v>1095.300000000001</c:v>
                </c:pt>
                <c:pt idx="36">
                  <c:v>1109.0</c:v>
                </c:pt>
                <c:pt idx="37">
                  <c:v>1141.0</c:v>
                </c:pt>
                <c:pt idx="38">
                  <c:v>1291.700000000001</c:v>
                </c:pt>
              </c:numCache>
            </c:numRef>
          </c:yVal>
          <c:smooth val="1"/>
        </c:ser>
        <c:ser>
          <c:idx val="1"/>
          <c:order val="2"/>
          <c:tx>
            <c:strRef>
              <c:f>ZonPaneel_18xKyocera2eh!$D$1</c:f>
              <c:strCache>
                <c:ptCount val="1"/>
                <c:pt idx="0">
                  <c:v>Bespaard</c:v>
                </c:pt>
              </c:strCache>
            </c:strRef>
          </c:tx>
          <c:marker>
            <c:symbol val="square"/>
            <c:size val="4"/>
          </c:marker>
          <c:xVal>
            <c:numRef>
              <c:f>ZonPaneel_18xKyocera2eh!$A$2:$A$2000</c:f>
              <c:numCache>
                <c:formatCode>d\-mmm\-yy</c:formatCode>
                <c:ptCount val="1999"/>
                <c:pt idx="0">
                  <c:v>42078.0</c:v>
                </c:pt>
                <c:pt idx="1">
                  <c:v>42099.0</c:v>
                </c:pt>
                <c:pt idx="2">
                  <c:v>42109.0</c:v>
                </c:pt>
                <c:pt idx="3">
                  <c:v>42122.0</c:v>
                </c:pt>
                <c:pt idx="4">
                  <c:v>42125.0</c:v>
                </c:pt>
                <c:pt idx="5">
                  <c:v>42140.0</c:v>
                </c:pt>
                <c:pt idx="6">
                  <c:v>42156.0</c:v>
                </c:pt>
                <c:pt idx="7">
                  <c:v>42169.0</c:v>
                </c:pt>
                <c:pt idx="8">
                  <c:v>42193.0</c:v>
                </c:pt>
                <c:pt idx="9">
                  <c:v>42203.0</c:v>
                </c:pt>
                <c:pt idx="10">
                  <c:v>42219.0</c:v>
                </c:pt>
                <c:pt idx="11">
                  <c:v>42232.0</c:v>
                </c:pt>
                <c:pt idx="12">
                  <c:v>42245.0</c:v>
                </c:pt>
                <c:pt idx="13">
                  <c:v>42284.0</c:v>
                </c:pt>
                <c:pt idx="14">
                  <c:v>42294.0</c:v>
                </c:pt>
                <c:pt idx="15">
                  <c:v>42309.0</c:v>
                </c:pt>
                <c:pt idx="16">
                  <c:v>42322.0</c:v>
                </c:pt>
                <c:pt idx="17">
                  <c:v>42358.0</c:v>
                </c:pt>
                <c:pt idx="18">
                  <c:v>42371.0</c:v>
                </c:pt>
                <c:pt idx="19">
                  <c:v>42386.0</c:v>
                </c:pt>
                <c:pt idx="20">
                  <c:v>42403.0</c:v>
                </c:pt>
                <c:pt idx="21">
                  <c:v>42422.0</c:v>
                </c:pt>
                <c:pt idx="22">
                  <c:v>42430.0</c:v>
                </c:pt>
                <c:pt idx="23">
                  <c:v>42444.0</c:v>
                </c:pt>
                <c:pt idx="24">
                  <c:v>42461.0</c:v>
                </c:pt>
                <c:pt idx="25">
                  <c:v>42478.0</c:v>
                </c:pt>
                <c:pt idx="26">
                  <c:v>42493.0</c:v>
                </c:pt>
                <c:pt idx="27">
                  <c:v>42506.0</c:v>
                </c:pt>
                <c:pt idx="28">
                  <c:v>42522.0</c:v>
                </c:pt>
                <c:pt idx="29">
                  <c:v>42552.0</c:v>
                </c:pt>
                <c:pt idx="30">
                  <c:v>42585.0</c:v>
                </c:pt>
                <c:pt idx="31">
                  <c:v>42619.0</c:v>
                </c:pt>
                <c:pt idx="32">
                  <c:v>42644.0</c:v>
                </c:pt>
                <c:pt idx="33">
                  <c:v>42675.0</c:v>
                </c:pt>
                <c:pt idx="34">
                  <c:v>42746.0</c:v>
                </c:pt>
                <c:pt idx="35">
                  <c:v>42767.0</c:v>
                </c:pt>
                <c:pt idx="36">
                  <c:v>42795.0</c:v>
                </c:pt>
                <c:pt idx="37">
                  <c:v>42826.0</c:v>
                </c:pt>
                <c:pt idx="38">
                  <c:v>42887.0</c:v>
                </c:pt>
              </c:numCache>
            </c:numRef>
          </c:xVal>
          <c:yVal>
            <c:numRef>
              <c:f>ZonPaneel_18xKyocera2eh!$D$2:$D$2000</c:f>
              <c:numCache>
                <c:formatCode>"€"\ #,##0.00</c:formatCode>
                <c:ptCount val="1999"/>
                <c:pt idx="0">
                  <c:v>0.0</c:v>
                </c:pt>
                <c:pt idx="1">
                  <c:v>5.690503</c:v>
                </c:pt>
                <c:pt idx="2">
                  <c:v>10.22101885000016</c:v>
                </c:pt>
                <c:pt idx="3">
                  <c:v>17.13716865000024</c:v>
                </c:pt>
                <c:pt idx="4">
                  <c:v>18.90997919999992</c:v>
                </c:pt>
                <c:pt idx="5">
                  <c:v>29.39363665000024</c:v>
                </c:pt>
                <c:pt idx="6">
                  <c:v>40.53389060000016</c:v>
                </c:pt>
                <c:pt idx="7">
                  <c:v>52.19942175</c:v>
                </c:pt>
                <c:pt idx="8">
                  <c:v>71.48959839999999</c:v>
                </c:pt>
                <c:pt idx="9">
                  <c:v>78.40819807000007</c:v>
                </c:pt>
                <c:pt idx="10">
                  <c:v>87.91319014000013</c:v>
                </c:pt>
                <c:pt idx="11">
                  <c:v>95.21974867000005</c:v>
                </c:pt>
                <c:pt idx="12">
                  <c:v>99.78904191000021</c:v>
                </c:pt>
                <c:pt idx="13">
                  <c:v>110.17771805</c:v>
                </c:pt>
                <c:pt idx="14">
                  <c:v>111.5571273299999</c:v>
                </c:pt>
                <c:pt idx="15">
                  <c:v>113.3460487400001</c:v>
                </c:pt>
                <c:pt idx="16">
                  <c:v>114.5314785900001</c:v>
                </c:pt>
                <c:pt idx="17">
                  <c:v>116.5143794299999</c:v>
                </c:pt>
                <c:pt idx="18">
                  <c:v>117.0816791299999</c:v>
                </c:pt>
                <c:pt idx="19">
                  <c:v>117.7057088000001</c:v>
                </c:pt>
                <c:pt idx="20">
                  <c:v>118.51883837</c:v>
                </c:pt>
                <c:pt idx="21">
                  <c:v>120.20182748</c:v>
                </c:pt>
                <c:pt idx="22">
                  <c:v>121.14732698</c:v>
                </c:pt>
                <c:pt idx="23">
                  <c:v>123.51107573</c:v>
                </c:pt>
                <c:pt idx="24">
                  <c:v>127.3687136900002</c:v>
                </c:pt>
                <c:pt idx="25">
                  <c:v>133.2308105900002</c:v>
                </c:pt>
                <c:pt idx="26">
                  <c:v>140.1140469500001</c:v>
                </c:pt>
                <c:pt idx="27">
                  <c:v>145.93832387</c:v>
                </c:pt>
                <c:pt idx="28">
                  <c:v>155.39331887</c:v>
                </c:pt>
                <c:pt idx="29">
                  <c:v>173.16616191</c:v>
                </c:pt>
                <c:pt idx="30">
                  <c:v>192.87245231</c:v>
                </c:pt>
                <c:pt idx="31">
                  <c:v>207.07585407</c:v>
                </c:pt>
                <c:pt idx="32">
                  <c:v>212.4300159900002</c:v>
                </c:pt>
                <c:pt idx="33">
                  <c:v>216.3526832299999</c:v>
                </c:pt>
                <c:pt idx="34">
                  <c:v>219.8263406900001</c:v>
                </c:pt>
                <c:pt idx="35">
                  <c:v>220.9290890900001</c:v>
                </c:pt>
                <c:pt idx="36">
                  <c:v>223.4470312699999</c:v>
                </c:pt>
                <c:pt idx="37">
                  <c:v>229.32835607</c:v>
                </c:pt>
                <c:pt idx="38">
                  <c:v>257.0257200500001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97460184"/>
        <c:axId val="1864392584"/>
      </c:scatterChart>
      <c:valAx>
        <c:axId val="1871947064"/>
        <c:scaling>
          <c:orientation val="minMax"/>
        </c:scaling>
        <c:delete val="0"/>
        <c:axPos val="b"/>
        <c:majorGridlines/>
        <c:numFmt formatCode="d\-mmm\-yy" sourceLinked="1"/>
        <c:majorTickMark val="out"/>
        <c:minorTickMark val="none"/>
        <c:tickLblPos val="nextTo"/>
        <c:txPr>
          <a:bodyPr rot="-1260000"/>
          <a:lstStyle/>
          <a:p>
            <a:pPr>
              <a:defRPr/>
            </a:pPr>
            <a:endParaRPr lang="en-US"/>
          </a:p>
        </c:txPr>
        <c:crossAx val="1871950120"/>
        <c:crosses val="autoZero"/>
        <c:crossBetween val="midCat"/>
      </c:valAx>
      <c:valAx>
        <c:axId val="1871950120"/>
        <c:scaling>
          <c:orientation val="minMax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71947064"/>
        <c:crosses val="autoZero"/>
        <c:crossBetween val="midCat"/>
      </c:valAx>
      <c:valAx>
        <c:axId val="1864392584"/>
        <c:scaling>
          <c:orientation val="minMax"/>
          <c:min val="0.0"/>
        </c:scaling>
        <c:delete val="0"/>
        <c:axPos val="r"/>
        <c:numFmt formatCode="General" sourceLinked="1"/>
        <c:majorTickMark val="out"/>
        <c:minorTickMark val="none"/>
        <c:tickLblPos val="nextTo"/>
        <c:crossAx val="-1997460184"/>
        <c:crosses val="max"/>
        <c:crossBetween val="midCat"/>
      </c:valAx>
      <c:valAx>
        <c:axId val="-1997460184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one"/>
        <c:crossAx val="18643925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1.0" l="0.750000000000004" r="0.750000000000004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16000563021105"/>
          <c:y val="0.0444545332734309"/>
          <c:w val="0.869062321468492"/>
          <c:h val="0.91109093345314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InvloedBomen!$B$4</c:f>
              <c:strCache>
                <c:ptCount val="1"/>
                <c:pt idx="0">
                  <c:v>Actuele opbrengst [W]</c:v>
                </c:pt>
              </c:strCache>
            </c:strRef>
          </c:tx>
          <c:marker>
            <c:symbol val="none"/>
          </c:marker>
          <c:xVal>
            <c:numRef>
              <c:f>InvloedBomen!$A$5:$A$112</c:f>
              <c:numCache>
                <c:formatCode>h:mm</c:formatCode>
                <c:ptCount val="108"/>
                <c:pt idx="0">
                  <c:v>0.170138888888891</c:v>
                </c:pt>
                <c:pt idx="1">
                  <c:v>0.177083333333335</c:v>
                </c:pt>
                <c:pt idx="2">
                  <c:v>0.184027777777779</c:v>
                </c:pt>
                <c:pt idx="3">
                  <c:v>0.190972222222223</c:v>
                </c:pt>
                <c:pt idx="4">
                  <c:v>0.197916666666667</c:v>
                </c:pt>
                <c:pt idx="5">
                  <c:v>0.204861111111111</c:v>
                </c:pt>
                <c:pt idx="6">
                  <c:v>0.211805555555556</c:v>
                </c:pt>
                <c:pt idx="7">
                  <c:v>0.21875</c:v>
                </c:pt>
                <c:pt idx="8">
                  <c:v>0.225694444444445</c:v>
                </c:pt>
                <c:pt idx="9">
                  <c:v>0.232638888888889</c:v>
                </c:pt>
                <c:pt idx="10">
                  <c:v>0.239583333333333</c:v>
                </c:pt>
                <c:pt idx="11">
                  <c:v>0.246527777777778</c:v>
                </c:pt>
                <c:pt idx="12">
                  <c:v>0.253472222222222</c:v>
                </c:pt>
                <c:pt idx="13">
                  <c:v>0.260416666666667</c:v>
                </c:pt>
                <c:pt idx="14">
                  <c:v>0.267361111111111</c:v>
                </c:pt>
                <c:pt idx="15">
                  <c:v>0.274305555555556</c:v>
                </c:pt>
                <c:pt idx="16">
                  <c:v>0.28125</c:v>
                </c:pt>
                <c:pt idx="17">
                  <c:v>0.288194444444444</c:v>
                </c:pt>
                <c:pt idx="18">
                  <c:v>0.295138888888889</c:v>
                </c:pt>
                <c:pt idx="19">
                  <c:v>0.302083333333333</c:v>
                </c:pt>
                <c:pt idx="20">
                  <c:v>0.309027777777778</c:v>
                </c:pt>
                <c:pt idx="21">
                  <c:v>0.315972222222222</c:v>
                </c:pt>
                <c:pt idx="22">
                  <c:v>0.322916666666667</c:v>
                </c:pt>
                <c:pt idx="23">
                  <c:v>0.329861111111111</c:v>
                </c:pt>
                <c:pt idx="24">
                  <c:v>0.336805555555555</c:v>
                </c:pt>
                <c:pt idx="25">
                  <c:v>0.34375</c:v>
                </c:pt>
                <c:pt idx="26">
                  <c:v>0.350694444444444</c:v>
                </c:pt>
                <c:pt idx="27">
                  <c:v>0.357638888888889</c:v>
                </c:pt>
                <c:pt idx="28">
                  <c:v>0.364583333333333</c:v>
                </c:pt>
                <c:pt idx="29">
                  <c:v>0.371527777777778</c:v>
                </c:pt>
                <c:pt idx="30">
                  <c:v>0.378472222222222</c:v>
                </c:pt>
                <c:pt idx="31">
                  <c:v>0.385416666666666</c:v>
                </c:pt>
                <c:pt idx="32">
                  <c:v>0.392361111111111</c:v>
                </c:pt>
                <c:pt idx="33">
                  <c:v>0.399305555555555</c:v>
                </c:pt>
                <c:pt idx="34">
                  <c:v>0.40625</c:v>
                </c:pt>
                <c:pt idx="35">
                  <c:v>0.413194444444444</c:v>
                </c:pt>
                <c:pt idx="36">
                  <c:v>0.420138888888889</c:v>
                </c:pt>
                <c:pt idx="37">
                  <c:v>0.427083333333333</c:v>
                </c:pt>
                <c:pt idx="38">
                  <c:v>0.434027777777777</c:v>
                </c:pt>
                <c:pt idx="39">
                  <c:v>0.440972222222222</c:v>
                </c:pt>
                <c:pt idx="40">
                  <c:v>0.447916666666666</c:v>
                </c:pt>
                <c:pt idx="41">
                  <c:v>0.454861111111111</c:v>
                </c:pt>
                <c:pt idx="42">
                  <c:v>0.461805555555555</c:v>
                </c:pt>
                <c:pt idx="43">
                  <c:v>0.468749999999999</c:v>
                </c:pt>
                <c:pt idx="44">
                  <c:v>0.475694444444444</c:v>
                </c:pt>
                <c:pt idx="45">
                  <c:v>0.482638888888888</c:v>
                </c:pt>
                <c:pt idx="46">
                  <c:v>0.489583333333333</c:v>
                </c:pt>
                <c:pt idx="47">
                  <c:v>0.496527777777777</c:v>
                </c:pt>
                <c:pt idx="48">
                  <c:v>0.503472222222222</c:v>
                </c:pt>
                <c:pt idx="49">
                  <c:v>0.510416666666666</c:v>
                </c:pt>
                <c:pt idx="50">
                  <c:v>0.51736111111111</c:v>
                </c:pt>
                <c:pt idx="51">
                  <c:v>0.524305555555555</c:v>
                </c:pt>
                <c:pt idx="52">
                  <c:v>0.531249999999999</c:v>
                </c:pt>
                <c:pt idx="53">
                  <c:v>0.538194444444444</c:v>
                </c:pt>
                <c:pt idx="54">
                  <c:v>0.545138888888888</c:v>
                </c:pt>
                <c:pt idx="55">
                  <c:v>0.552083333333333</c:v>
                </c:pt>
                <c:pt idx="56">
                  <c:v>0.559027777777777</c:v>
                </c:pt>
                <c:pt idx="57">
                  <c:v>0.565972222222221</c:v>
                </c:pt>
                <c:pt idx="58">
                  <c:v>0.572916666666666</c:v>
                </c:pt>
                <c:pt idx="59">
                  <c:v>0.57986111111111</c:v>
                </c:pt>
                <c:pt idx="60">
                  <c:v>0.586805555555555</c:v>
                </c:pt>
                <c:pt idx="61">
                  <c:v>0.593749999999999</c:v>
                </c:pt>
                <c:pt idx="62">
                  <c:v>0.600694444444443</c:v>
                </c:pt>
                <c:pt idx="63">
                  <c:v>0.607638888888888</c:v>
                </c:pt>
                <c:pt idx="64">
                  <c:v>0.614583333333332</c:v>
                </c:pt>
                <c:pt idx="65">
                  <c:v>0.621527777777777</c:v>
                </c:pt>
                <c:pt idx="66">
                  <c:v>0.628472222222221</c:v>
                </c:pt>
                <c:pt idx="67">
                  <c:v>0.635416666666666</c:v>
                </c:pt>
                <c:pt idx="68">
                  <c:v>0.64236111111111</c:v>
                </c:pt>
                <c:pt idx="69">
                  <c:v>0.649305555555554</c:v>
                </c:pt>
                <c:pt idx="70">
                  <c:v>0.656249999999999</c:v>
                </c:pt>
                <c:pt idx="71">
                  <c:v>0.663194444444443</c:v>
                </c:pt>
                <c:pt idx="72">
                  <c:v>0.670138888888888</c:v>
                </c:pt>
                <c:pt idx="73">
                  <c:v>0.677083333333332</c:v>
                </c:pt>
                <c:pt idx="74">
                  <c:v>0.684027777777777</c:v>
                </c:pt>
                <c:pt idx="75">
                  <c:v>0.690972222222221</c:v>
                </c:pt>
                <c:pt idx="76">
                  <c:v>0.697916666666665</c:v>
                </c:pt>
                <c:pt idx="77">
                  <c:v>0.70486111111111</c:v>
                </c:pt>
                <c:pt idx="78">
                  <c:v>0.711805555555554</c:v>
                </c:pt>
                <c:pt idx="79">
                  <c:v>0.718749999999999</c:v>
                </c:pt>
                <c:pt idx="80">
                  <c:v>0.725694444444443</c:v>
                </c:pt>
                <c:pt idx="81">
                  <c:v>0.732638888888887</c:v>
                </c:pt>
                <c:pt idx="82">
                  <c:v>0.739583333333332</c:v>
                </c:pt>
                <c:pt idx="83">
                  <c:v>0.746527777777776</c:v>
                </c:pt>
                <c:pt idx="84">
                  <c:v>0.753472222222221</c:v>
                </c:pt>
                <c:pt idx="85">
                  <c:v>0.760416666666665</c:v>
                </c:pt>
                <c:pt idx="86">
                  <c:v>0.76736111111111</c:v>
                </c:pt>
                <c:pt idx="87">
                  <c:v>0.774305555555554</c:v>
                </c:pt>
                <c:pt idx="88">
                  <c:v>0.781249999999998</c:v>
                </c:pt>
                <c:pt idx="89">
                  <c:v>0.788194444444443</c:v>
                </c:pt>
                <c:pt idx="90">
                  <c:v>0.795138888888887</c:v>
                </c:pt>
                <c:pt idx="91">
                  <c:v>0.802083333333332</c:v>
                </c:pt>
                <c:pt idx="92">
                  <c:v>0.809027777777776</c:v>
                </c:pt>
                <c:pt idx="93">
                  <c:v>0.81597222222222</c:v>
                </c:pt>
                <c:pt idx="94">
                  <c:v>0.822916666666665</c:v>
                </c:pt>
                <c:pt idx="95">
                  <c:v>0.829861111111109</c:v>
                </c:pt>
                <c:pt idx="96">
                  <c:v>0.836805555555554</c:v>
                </c:pt>
                <c:pt idx="97">
                  <c:v>0.843749999999998</c:v>
                </c:pt>
                <c:pt idx="98">
                  <c:v>0.850694444444443</c:v>
                </c:pt>
                <c:pt idx="99">
                  <c:v>0.857638888888887</c:v>
                </c:pt>
                <c:pt idx="100">
                  <c:v>0.864583333333331</c:v>
                </c:pt>
                <c:pt idx="101">
                  <c:v>0.871527777777776</c:v>
                </c:pt>
                <c:pt idx="102">
                  <c:v>0.87847222222222</c:v>
                </c:pt>
                <c:pt idx="103">
                  <c:v>0.885416666666665</c:v>
                </c:pt>
                <c:pt idx="104">
                  <c:v>0.892361111111109</c:v>
                </c:pt>
                <c:pt idx="105">
                  <c:v>0.899305555555554</c:v>
                </c:pt>
                <c:pt idx="106">
                  <c:v>0.906249999999998</c:v>
                </c:pt>
                <c:pt idx="107">
                  <c:v>0.913194444444442</c:v>
                </c:pt>
              </c:numCache>
            </c:numRef>
          </c:xVal>
          <c:yVal>
            <c:numRef>
              <c:f>InvloedBomen!$B$5:$B$112</c:f>
              <c:numCache>
                <c:formatCode>General</c:formatCode>
                <c:ptCount val="10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4.0</c:v>
                </c:pt>
                <c:pt idx="21">
                  <c:v>12.0</c:v>
                </c:pt>
                <c:pt idx="22">
                  <c:v>38.0</c:v>
                </c:pt>
                <c:pt idx="23">
                  <c:v>33.0</c:v>
                </c:pt>
                <c:pt idx="24">
                  <c:v>44.0</c:v>
                </c:pt>
                <c:pt idx="25">
                  <c:v>56.0</c:v>
                </c:pt>
                <c:pt idx="26">
                  <c:v>69.0</c:v>
                </c:pt>
                <c:pt idx="27">
                  <c:v>135.0</c:v>
                </c:pt>
                <c:pt idx="28">
                  <c:v>299.0</c:v>
                </c:pt>
                <c:pt idx="29">
                  <c:v>348.0</c:v>
                </c:pt>
                <c:pt idx="30">
                  <c:v>385.0</c:v>
                </c:pt>
                <c:pt idx="31">
                  <c:v>416.0</c:v>
                </c:pt>
                <c:pt idx="32">
                  <c:v>447.0</c:v>
                </c:pt>
                <c:pt idx="33">
                  <c:v>474.0</c:v>
                </c:pt>
                <c:pt idx="34">
                  <c:v>499.0</c:v>
                </c:pt>
                <c:pt idx="35">
                  <c:v>526.0</c:v>
                </c:pt>
                <c:pt idx="36">
                  <c:v>550.0</c:v>
                </c:pt>
                <c:pt idx="37">
                  <c:v>571.0</c:v>
                </c:pt>
                <c:pt idx="38">
                  <c:v>587.0</c:v>
                </c:pt>
                <c:pt idx="39">
                  <c:v>606.0</c:v>
                </c:pt>
                <c:pt idx="40">
                  <c:v>622.0</c:v>
                </c:pt>
                <c:pt idx="41">
                  <c:v>636.0</c:v>
                </c:pt>
                <c:pt idx="42">
                  <c:v>647.0</c:v>
                </c:pt>
                <c:pt idx="43">
                  <c:v>659.0</c:v>
                </c:pt>
                <c:pt idx="44">
                  <c:v>664.0</c:v>
                </c:pt>
                <c:pt idx="45">
                  <c:v>671.0</c:v>
                </c:pt>
                <c:pt idx="46">
                  <c:v>670.0</c:v>
                </c:pt>
                <c:pt idx="47">
                  <c:v>675.0</c:v>
                </c:pt>
                <c:pt idx="48">
                  <c:v>685.0</c:v>
                </c:pt>
                <c:pt idx="49">
                  <c:v>682.0</c:v>
                </c:pt>
                <c:pt idx="50">
                  <c:v>693.0</c:v>
                </c:pt>
                <c:pt idx="51">
                  <c:v>680.0</c:v>
                </c:pt>
                <c:pt idx="52">
                  <c:v>670.0</c:v>
                </c:pt>
                <c:pt idx="53">
                  <c:v>630.0</c:v>
                </c:pt>
                <c:pt idx="54">
                  <c:v>552.0</c:v>
                </c:pt>
                <c:pt idx="55">
                  <c:v>461.0</c:v>
                </c:pt>
                <c:pt idx="56">
                  <c:v>445.0</c:v>
                </c:pt>
                <c:pt idx="57">
                  <c:v>485.0</c:v>
                </c:pt>
                <c:pt idx="58">
                  <c:v>527.0</c:v>
                </c:pt>
                <c:pt idx="59">
                  <c:v>581.0</c:v>
                </c:pt>
                <c:pt idx="60">
                  <c:v>601.0</c:v>
                </c:pt>
                <c:pt idx="61">
                  <c:v>601.0</c:v>
                </c:pt>
                <c:pt idx="62">
                  <c:v>553.0</c:v>
                </c:pt>
                <c:pt idx="63">
                  <c:v>368.0</c:v>
                </c:pt>
                <c:pt idx="64">
                  <c:v>239.0</c:v>
                </c:pt>
                <c:pt idx="65">
                  <c:v>162.0</c:v>
                </c:pt>
                <c:pt idx="66">
                  <c:v>132.0</c:v>
                </c:pt>
                <c:pt idx="67">
                  <c:v>149.0</c:v>
                </c:pt>
                <c:pt idx="68">
                  <c:v>210.0</c:v>
                </c:pt>
                <c:pt idx="69">
                  <c:v>314.0</c:v>
                </c:pt>
                <c:pt idx="70">
                  <c:v>390.0</c:v>
                </c:pt>
                <c:pt idx="71">
                  <c:v>368.0</c:v>
                </c:pt>
                <c:pt idx="72">
                  <c:v>337.0</c:v>
                </c:pt>
                <c:pt idx="73">
                  <c:v>301.0</c:v>
                </c:pt>
                <c:pt idx="74">
                  <c:v>269.0</c:v>
                </c:pt>
                <c:pt idx="75">
                  <c:v>232.0</c:v>
                </c:pt>
                <c:pt idx="76">
                  <c:v>197.0</c:v>
                </c:pt>
                <c:pt idx="77">
                  <c:v>166.0</c:v>
                </c:pt>
                <c:pt idx="78">
                  <c:v>135.0</c:v>
                </c:pt>
                <c:pt idx="79">
                  <c:v>107.0</c:v>
                </c:pt>
                <c:pt idx="80">
                  <c:v>80.0</c:v>
                </c:pt>
                <c:pt idx="81">
                  <c:v>57.0</c:v>
                </c:pt>
                <c:pt idx="82">
                  <c:v>35.0</c:v>
                </c:pt>
                <c:pt idx="83">
                  <c:v>18.0</c:v>
                </c:pt>
                <c:pt idx="84">
                  <c:v>8.0</c:v>
                </c:pt>
                <c:pt idx="85">
                  <c:v>2.0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InvloedBomen!$C$4</c:f>
              <c:strCache>
                <c:ptCount val="1"/>
                <c:pt idx="0">
                  <c:v>Opbrengst zonder bomen [W]</c:v>
                </c:pt>
              </c:strCache>
            </c:strRef>
          </c:tx>
          <c:marker>
            <c:symbol val="none"/>
          </c:marker>
          <c:xVal>
            <c:numRef>
              <c:f>InvloedBomen!$A$5:$A$112</c:f>
              <c:numCache>
                <c:formatCode>h:mm</c:formatCode>
                <c:ptCount val="108"/>
                <c:pt idx="0">
                  <c:v>0.170138888888891</c:v>
                </c:pt>
                <c:pt idx="1">
                  <c:v>0.177083333333335</c:v>
                </c:pt>
                <c:pt idx="2">
                  <c:v>0.184027777777779</c:v>
                </c:pt>
                <c:pt idx="3">
                  <c:v>0.190972222222223</c:v>
                </c:pt>
                <c:pt idx="4">
                  <c:v>0.197916666666667</c:v>
                </c:pt>
                <c:pt idx="5">
                  <c:v>0.204861111111111</c:v>
                </c:pt>
                <c:pt idx="6">
                  <c:v>0.211805555555556</c:v>
                </c:pt>
                <c:pt idx="7">
                  <c:v>0.21875</c:v>
                </c:pt>
                <c:pt idx="8">
                  <c:v>0.225694444444445</c:v>
                </c:pt>
                <c:pt idx="9">
                  <c:v>0.232638888888889</c:v>
                </c:pt>
                <c:pt idx="10">
                  <c:v>0.239583333333333</c:v>
                </c:pt>
                <c:pt idx="11">
                  <c:v>0.246527777777778</c:v>
                </c:pt>
                <c:pt idx="12">
                  <c:v>0.253472222222222</c:v>
                </c:pt>
                <c:pt idx="13">
                  <c:v>0.260416666666667</c:v>
                </c:pt>
                <c:pt idx="14">
                  <c:v>0.267361111111111</c:v>
                </c:pt>
                <c:pt idx="15">
                  <c:v>0.274305555555556</c:v>
                </c:pt>
                <c:pt idx="16">
                  <c:v>0.28125</c:v>
                </c:pt>
                <c:pt idx="17">
                  <c:v>0.288194444444444</c:v>
                </c:pt>
                <c:pt idx="18">
                  <c:v>0.295138888888889</c:v>
                </c:pt>
                <c:pt idx="19">
                  <c:v>0.302083333333333</c:v>
                </c:pt>
                <c:pt idx="20">
                  <c:v>0.309027777777778</c:v>
                </c:pt>
                <c:pt idx="21">
                  <c:v>0.315972222222222</c:v>
                </c:pt>
                <c:pt idx="22">
                  <c:v>0.322916666666667</c:v>
                </c:pt>
                <c:pt idx="23">
                  <c:v>0.329861111111111</c:v>
                </c:pt>
                <c:pt idx="24">
                  <c:v>0.336805555555555</c:v>
                </c:pt>
                <c:pt idx="25">
                  <c:v>0.34375</c:v>
                </c:pt>
                <c:pt idx="26">
                  <c:v>0.350694444444444</c:v>
                </c:pt>
                <c:pt idx="27">
                  <c:v>0.357638888888889</c:v>
                </c:pt>
                <c:pt idx="28">
                  <c:v>0.364583333333333</c:v>
                </c:pt>
                <c:pt idx="29">
                  <c:v>0.371527777777778</c:v>
                </c:pt>
                <c:pt idx="30">
                  <c:v>0.378472222222222</c:v>
                </c:pt>
                <c:pt idx="31">
                  <c:v>0.385416666666666</c:v>
                </c:pt>
                <c:pt idx="32">
                  <c:v>0.392361111111111</c:v>
                </c:pt>
                <c:pt idx="33">
                  <c:v>0.399305555555555</c:v>
                </c:pt>
                <c:pt idx="34">
                  <c:v>0.40625</c:v>
                </c:pt>
                <c:pt idx="35">
                  <c:v>0.413194444444444</c:v>
                </c:pt>
                <c:pt idx="36">
                  <c:v>0.420138888888889</c:v>
                </c:pt>
                <c:pt idx="37">
                  <c:v>0.427083333333333</c:v>
                </c:pt>
                <c:pt idx="38">
                  <c:v>0.434027777777777</c:v>
                </c:pt>
                <c:pt idx="39">
                  <c:v>0.440972222222222</c:v>
                </c:pt>
                <c:pt idx="40">
                  <c:v>0.447916666666666</c:v>
                </c:pt>
                <c:pt idx="41">
                  <c:v>0.454861111111111</c:v>
                </c:pt>
                <c:pt idx="42">
                  <c:v>0.461805555555555</c:v>
                </c:pt>
                <c:pt idx="43">
                  <c:v>0.468749999999999</c:v>
                </c:pt>
                <c:pt idx="44">
                  <c:v>0.475694444444444</c:v>
                </c:pt>
                <c:pt idx="45">
                  <c:v>0.482638888888888</c:v>
                </c:pt>
                <c:pt idx="46">
                  <c:v>0.489583333333333</c:v>
                </c:pt>
                <c:pt idx="47">
                  <c:v>0.496527777777777</c:v>
                </c:pt>
                <c:pt idx="48">
                  <c:v>0.503472222222222</c:v>
                </c:pt>
                <c:pt idx="49">
                  <c:v>0.510416666666666</c:v>
                </c:pt>
                <c:pt idx="50">
                  <c:v>0.51736111111111</c:v>
                </c:pt>
                <c:pt idx="51">
                  <c:v>0.524305555555555</c:v>
                </c:pt>
                <c:pt idx="52">
                  <c:v>0.531249999999999</c:v>
                </c:pt>
                <c:pt idx="53">
                  <c:v>0.538194444444444</c:v>
                </c:pt>
                <c:pt idx="54">
                  <c:v>0.545138888888888</c:v>
                </c:pt>
                <c:pt idx="55">
                  <c:v>0.552083333333333</c:v>
                </c:pt>
                <c:pt idx="56">
                  <c:v>0.559027777777777</c:v>
                </c:pt>
                <c:pt idx="57">
                  <c:v>0.565972222222221</c:v>
                </c:pt>
                <c:pt idx="58">
                  <c:v>0.572916666666666</c:v>
                </c:pt>
                <c:pt idx="59">
                  <c:v>0.57986111111111</c:v>
                </c:pt>
                <c:pt idx="60">
                  <c:v>0.586805555555555</c:v>
                </c:pt>
                <c:pt idx="61">
                  <c:v>0.593749999999999</c:v>
                </c:pt>
                <c:pt idx="62">
                  <c:v>0.600694444444443</c:v>
                </c:pt>
                <c:pt idx="63">
                  <c:v>0.607638888888888</c:v>
                </c:pt>
                <c:pt idx="64">
                  <c:v>0.614583333333332</c:v>
                </c:pt>
                <c:pt idx="65">
                  <c:v>0.621527777777777</c:v>
                </c:pt>
                <c:pt idx="66">
                  <c:v>0.628472222222221</c:v>
                </c:pt>
                <c:pt idx="67">
                  <c:v>0.635416666666666</c:v>
                </c:pt>
                <c:pt idx="68">
                  <c:v>0.64236111111111</c:v>
                </c:pt>
                <c:pt idx="69">
                  <c:v>0.649305555555554</c:v>
                </c:pt>
                <c:pt idx="70">
                  <c:v>0.656249999999999</c:v>
                </c:pt>
                <c:pt idx="71">
                  <c:v>0.663194444444443</c:v>
                </c:pt>
                <c:pt idx="72">
                  <c:v>0.670138888888888</c:v>
                </c:pt>
                <c:pt idx="73">
                  <c:v>0.677083333333332</c:v>
                </c:pt>
                <c:pt idx="74">
                  <c:v>0.684027777777777</c:v>
                </c:pt>
                <c:pt idx="75">
                  <c:v>0.690972222222221</c:v>
                </c:pt>
                <c:pt idx="76">
                  <c:v>0.697916666666665</c:v>
                </c:pt>
                <c:pt idx="77">
                  <c:v>0.70486111111111</c:v>
                </c:pt>
                <c:pt idx="78">
                  <c:v>0.711805555555554</c:v>
                </c:pt>
                <c:pt idx="79">
                  <c:v>0.718749999999999</c:v>
                </c:pt>
                <c:pt idx="80">
                  <c:v>0.725694444444443</c:v>
                </c:pt>
                <c:pt idx="81">
                  <c:v>0.732638888888887</c:v>
                </c:pt>
                <c:pt idx="82">
                  <c:v>0.739583333333332</c:v>
                </c:pt>
                <c:pt idx="83">
                  <c:v>0.746527777777776</c:v>
                </c:pt>
                <c:pt idx="84">
                  <c:v>0.753472222222221</c:v>
                </c:pt>
                <c:pt idx="85">
                  <c:v>0.760416666666665</c:v>
                </c:pt>
                <c:pt idx="86">
                  <c:v>0.76736111111111</c:v>
                </c:pt>
                <c:pt idx="87">
                  <c:v>0.774305555555554</c:v>
                </c:pt>
                <c:pt idx="88">
                  <c:v>0.781249999999998</c:v>
                </c:pt>
                <c:pt idx="89">
                  <c:v>0.788194444444443</c:v>
                </c:pt>
                <c:pt idx="90">
                  <c:v>0.795138888888887</c:v>
                </c:pt>
                <c:pt idx="91">
                  <c:v>0.802083333333332</c:v>
                </c:pt>
                <c:pt idx="92">
                  <c:v>0.809027777777776</c:v>
                </c:pt>
                <c:pt idx="93">
                  <c:v>0.81597222222222</c:v>
                </c:pt>
                <c:pt idx="94">
                  <c:v>0.822916666666665</c:v>
                </c:pt>
                <c:pt idx="95">
                  <c:v>0.829861111111109</c:v>
                </c:pt>
                <c:pt idx="96">
                  <c:v>0.836805555555554</c:v>
                </c:pt>
                <c:pt idx="97">
                  <c:v>0.843749999999998</c:v>
                </c:pt>
                <c:pt idx="98">
                  <c:v>0.850694444444443</c:v>
                </c:pt>
                <c:pt idx="99">
                  <c:v>0.857638888888887</c:v>
                </c:pt>
                <c:pt idx="100">
                  <c:v>0.864583333333331</c:v>
                </c:pt>
                <c:pt idx="101">
                  <c:v>0.871527777777776</c:v>
                </c:pt>
                <c:pt idx="102">
                  <c:v>0.87847222222222</c:v>
                </c:pt>
                <c:pt idx="103">
                  <c:v>0.885416666666665</c:v>
                </c:pt>
                <c:pt idx="104">
                  <c:v>0.892361111111109</c:v>
                </c:pt>
                <c:pt idx="105">
                  <c:v>0.899305555555554</c:v>
                </c:pt>
                <c:pt idx="106">
                  <c:v>0.906249999999998</c:v>
                </c:pt>
                <c:pt idx="107">
                  <c:v>0.913194444444442</c:v>
                </c:pt>
              </c:numCache>
            </c:numRef>
          </c:xVal>
          <c:yVal>
            <c:numRef>
              <c:f>InvloedBomen!$C$5:$C$112</c:f>
              <c:numCache>
                <c:formatCode>General</c:formatCode>
                <c:ptCount val="10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4.0</c:v>
                </c:pt>
                <c:pt idx="21">
                  <c:v>12.0</c:v>
                </c:pt>
                <c:pt idx="22">
                  <c:v>38.0</c:v>
                </c:pt>
                <c:pt idx="23">
                  <c:v>33.0</c:v>
                </c:pt>
                <c:pt idx="24">
                  <c:v>44.0</c:v>
                </c:pt>
                <c:pt idx="25">
                  <c:v>56.0</c:v>
                </c:pt>
                <c:pt idx="26">
                  <c:v>69.0</c:v>
                </c:pt>
                <c:pt idx="27">
                  <c:v>135.0</c:v>
                </c:pt>
                <c:pt idx="28">
                  <c:v>299.0</c:v>
                </c:pt>
                <c:pt idx="29">
                  <c:v>348.0</c:v>
                </c:pt>
                <c:pt idx="30">
                  <c:v>385.0</c:v>
                </c:pt>
                <c:pt idx="31">
                  <c:v>416.0</c:v>
                </c:pt>
                <c:pt idx="32">
                  <c:v>447.0</c:v>
                </c:pt>
                <c:pt idx="33">
                  <c:v>474.0</c:v>
                </c:pt>
                <c:pt idx="34">
                  <c:v>499.0</c:v>
                </c:pt>
                <c:pt idx="35">
                  <c:v>526.0</c:v>
                </c:pt>
                <c:pt idx="36">
                  <c:v>550.0</c:v>
                </c:pt>
                <c:pt idx="37">
                  <c:v>571.0</c:v>
                </c:pt>
                <c:pt idx="38">
                  <c:v>587.0</c:v>
                </c:pt>
                <c:pt idx="39">
                  <c:v>606.0</c:v>
                </c:pt>
                <c:pt idx="40">
                  <c:v>622.0</c:v>
                </c:pt>
                <c:pt idx="41">
                  <c:v>636.0</c:v>
                </c:pt>
                <c:pt idx="42">
                  <c:v>647.0</c:v>
                </c:pt>
                <c:pt idx="43">
                  <c:v>659.0</c:v>
                </c:pt>
                <c:pt idx="44">
                  <c:v>664.0</c:v>
                </c:pt>
                <c:pt idx="45">
                  <c:v>671.0</c:v>
                </c:pt>
                <c:pt idx="46">
                  <c:v>670.0</c:v>
                </c:pt>
                <c:pt idx="47">
                  <c:v>675.0</c:v>
                </c:pt>
                <c:pt idx="48">
                  <c:v>685.0</c:v>
                </c:pt>
                <c:pt idx="49">
                  <c:v>682.0</c:v>
                </c:pt>
                <c:pt idx="50">
                  <c:v>693.0</c:v>
                </c:pt>
                <c:pt idx="51">
                  <c:v>680.0</c:v>
                </c:pt>
                <c:pt idx="52">
                  <c:v>678.0</c:v>
                </c:pt>
                <c:pt idx="53">
                  <c:v>675.0</c:v>
                </c:pt>
                <c:pt idx="54">
                  <c:v>671.0</c:v>
                </c:pt>
                <c:pt idx="55">
                  <c:v>665.0</c:v>
                </c:pt>
                <c:pt idx="56">
                  <c:v>658.0</c:v>
                </c:pt>
                <c:pt idx="57">
                  <c:v>650.0</c:v>
                </c:pt>
                <c:pt idx="58">
                  <c:v>642.0</c:v>
                </c:pt>
                <c:pt idx="59">
                  <c:v>630.0</c:v>
                </c:pt>
                <c:pt idx="60">
                  <c:v>615.0</c:v>
                </c:pt>
                <c:pt idx="61">
                  <c:v>601.0</c:v>
                </c:pt>
                <c:pt idx="62">
                  <c:v>582.0</c:v>
                </c:pt>
                <c:pt idx="63">
                  <c:v>562.0</c:v>
                </c:pt>
                <c:pt idx="64">
                  <c:v>541.0</c:v>
                </c:pt>
                <c:pt idx="65">
                  <c:v>519.0</c:v>
                </c:pt>
                <c:pt idx="66">
                  <c:v>496.0</c:v>
                </c:pt>
                <c:pt idx="67">
                  <c:v>472.0</c:v>
                </c:pt>
                <c:pt idx="68">
                  <c:v>447.0</c:v>
                </c:pt>
                <c:pt idx="69">
                  <c:v>421.0</c:v>
                </c:pt>
                <c:pt idx="70">
                  <c:v>390.0</c:v>
                </c:pt>
                <c:pt idx="71">
                  <c:v>368.0</c:v>
                </c:pt>
                <c:pt idx="72">
                  <c:v>337.0</c:v>
                </c:pt>
                <c:pt idx="73">
                  <c:v>301.0</c:v>
                </c:pt>
                <c:pt idx="74">
                  <c:v>269.0</c:v>
                </c:pt>
                <c:pt idx="75">
                  <c:v>232.0</c:v>
                </c:pt>
                <c:pt idx="76">
                  <c:v>197.0</c:v>
                </c:pt>
                <c:pt idx="77">
                  <c:v>166.0</c:v>
                </c:pt>
                <c:pt idx="78">
                  <c:v>135.0</c:v>
                </c:pt>
                <c:pt idx="79">
                  <c:v>107.0</c:v>
                </c:pt>
                <c:pt idx="80">
                  <c:v>80.0</c:v>
                </c:pt>
                <c:pt idx="81">
                  <c:v>57.0</c:v>
                </c:pt>
                <c:pt idx="82">
                  <c:v>35.0</c:v>
                </c:pt>
                <c:pt idx="83">
                  <c:v>18.0</c:v>
                </c:pt>
                <c:pt idx="84">
                  <c:v>8.0</c:v>
                </c:pt>
                <c:pt idx="85">
                  <c:v>2.0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4622696"/>
        <c:axId val="1864625752"/>
      </c:scatterChart>
      <c:valAx>
        <c:axId val="1864622696"/>
        <c:scaling>
          <c:orientation val="minMax"/>
          <c:max val="0.916666667"/>
          <c:min val="0.166666667"/>
        </c:scaling>
        <c:delete val="0"/>
        <c:axPos val="b"/>
        <c:majorGridlines/>
        <c:numFmt formatCode="h:mm" sourceLinked="1"/>
        <c:majorTickMark val="out"/>
        <c:minorTickMark val="none"/>
        <c:tickLblPos val="nextTo"/>
        <c:crossAx val="1864625752"/>
        <c:crosses val="autoZero"/>
        <c:crossBetween val="midCat"/>
        <c:majorUnit val="0.083333333"/>
      </c:valAx>
      <c:valAx>
        <c:axId val="1864625752"/>
        <c:scaling>
          <c:orientation val="minMax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46226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93533040231166"/>
          <c:y val="0.0672354244007787"/>
          <c:w val="0.318738170347005"/>
          <c:h val="0.14480811520181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6"/>
          <c:order val="0"/>
          <c:tx>
            <c:strRef>
              <c:f>AllePanelen!$K$1</c:f>
              <c:strCache>
                <c:ptCount val="1"/>
                <c:pt idx="0">
                  <c:v>Cum since 15 Mar</c:v>
                </c:pt>
              </c:strCache>
            </c:strRef>
          </c:tx>
          <c:marker>
            <c:symbol val="none"/>
          </c:marker>
          <c:xVal>
            <c:numRef>
              <c:f>AllePanelen!$A$2:$A$40</c:f>
              <c:numCache>
                <c:formatCode>d\-mmm\-yy</c:formatCode>
                <c:ptCount val="39"/>
                <c:pt idx="0">
                  <c:v>42078.0</c:v>
                </c:pt>
                <c:pt idx="1">
                  <c:v>42099.0</c:v>
                </c:pt>
                <c:pt idx="2">
                  <c:v>42109.0</c:v>
                </c:pt>
                <c:pt idx="3">
                  <c:v>42122.0</c:v>
                </c:pt>
                <c:pt idx="4">
                  <c:v>42125.0</c:v>
                </c:pt>
                <c:pt idx="5">
                  <c:v>42140.0</c:v>
                </c:pt>
                <c:pt idx="6">
                  <c:v>42156.0</c:v>
                </c:pt>
                <c:pt idx="7">
                  <c:v>42169.0</c:v>
                </c:pt>
                <c:pt idx="8">
                  <c:v>42193.0</c:v>
                </c:pt>
                <c:pt idx="9">
                  <c:v>42203.0</c:v>
                </c:pt>
                <c:pt idx="10">
                  <c:v>42219.0</c:v>
                </c:pt>
                <c:pt idx="11">
                  <c:v>42232.0</c:v>
                </c:pt>
                <c:pt idx="12">
                  <c:v>42245.0</c:v>
                </c:pt>
                <c:pt idx="13">
                  <c:v>42284.0</c:v>
                </c:pt>
                <c:pt idx="14">
                  <c:v>42294.0</c:v>
                </c:pt>
                <c:pt idx="15">
                  <c:v>42309.0</c:v>
                </c:pt>
                <c:pt idx="16">
                  <c:v>42322.0</c:v>
                </c:pt>
                <c:pt idx="17">
                  <c:v>42358.0</c:v>
                </c:pt>
                <c:pt idx="18">
                  <c:v>42371.0</c:v>
                </c:pt>
                <c:pt idx="19">
                  <c:v>42386.0</c:v>
                </c:pt>
                <c:pt idx="20">
                  <c:v>42403.0</c:v>
                </c:pt>
                <c:pt idx="21">
                  <c:v>42422.0</c:v>
                </c:pt>
                <c:pt idx="22">
                  <c:v>42430.0</c:v>
                </c:pt>
                <c:pt idx="23">
                  <c:v>42444.0</c:v>
                </c:pt>
                <c:pt idx="24">
                  <c:v>42461.0</c:v>
                </c:pt>
                <c:pt idx="25">
                  <c:v>42478.0</c:v>
                </c:pt>
                <c:pt idx="26">
                  <c:v>42493.0</c:v>
                </c:pt>
                <c:pt idx="27">
                  <c:v>42506.0</c:v>
                </c:pt>
                <c:pt idx="28">
                  <c:v>42522.0</c:v>
                </c:pt>
                <c:pt idx="29">
                  <c:v>42552.0</c:v>
                </c:pt>
                <c:pt idx="30">
                  <c:v>42585.0</c:v>
                </c:pt>
                <c:pt idx="31">
                  <c:v>42619.0</c:v>
                </c:pt>
                <c:pt idx="32">
                  <c:v>42644.0</c:v>
                </c:pt>
                <c:pt idx="33">
                  <c:v>42675.0</c:v>
                </c:pt>
                <c:pt idx="34">
                  <c:v>42746.0</c:v>
                </c:pt>
                <c:pt idx="35">
                  <c:v>42767.0</c:v>
                </c:pt>
                <c:pt idx="36">
                  <c:v>42795.0</c:v>
                </c:pt>
                <c:pt idx="37">
                  <c:v>42826.0</c:v>
                </c:pt>
                <c:pt idx="38">
                  <c:v>42887.0</c:v>
                </c:pt>
              </c:numCache>
            </c:numRef>
          </c:xVal>
          <c:yVal>
            <c:numRef>
              <c:f>AllePanelen!$K$2:$K$40</c:f>
              <c:numCache>
                <c:formatCode>0</c:formatCode>
                <c:ptCount val="39"/>
                <c:pt idx="0" formatCode="General">
                  <c:v>0.0</c:v>
                </c:pt>
                <c:pt idx="1">
                  <c:v>474.3100000000004</c:v>
                </c:pt>
                <c:pt idx="2">
                  <c:v>884.04</c:v>
                </c:pt>
                <c:pt idx="3">
                  <c:v>1443.880000000001</c:v>
                </c:pt>
                <c:pt idx="4">
                  <c:v>1562.11</c:v>
                </c:pt>
                <c:pt idx="5">
                  <c:v>2246.73</c:v>
                </c:pt>
                <c:pt idx="6">
                  <c:v>2864.570000000002</c:v>
                </c:pt>
                <c:pt idx="7">
                  <c:v>3438.709999999999</c:v>
                </c:pt>
                <c:pt idx="8">
                  <c:v>4659.67</c:v>
                </c:pt>
                <c:pt idx="9">
                  <c:v>5063.97</c:v>
                </c:pt>
                <c:pt idx="10">
                  <c:v>5668.370000000001</c:v>
                </c:pt>
                <c:pt idx="11">
                  <c:v>6147.670000000002</c:v>
                </c:pt>
                <c:pt idx="12">
                  <c:v>6515.67</c:v>
                </c:pt>
                <c:pt idx="13">
                  <c:v>7469.999999999998</c:v>
                </c:pt>
                <c:pt idx="14">
                  <c:v>7579.269999999998</c:v>
                </c:pt>
                <c:pt idx="15">
                  <c:v>7737.57</c:v>
                </c:pt>
                <c:pt idx="16">
                  <c:v>7826.02</c:v>
                </c:pt>
                <c:pt idx="17">
                  <c:v>8009.13</c:v>
                </c:pt>
                <c:pt idx="18">
                  <c:v>8073.599999999998</c:v>
                </c:pt>
                <c:pt idx="19">
                  <c:v>8135.440000000001</c:v>
                </c:pt>
                <c:pt idx="20">
                  <c:v>8221.389999999999</c:v>
                </c:pt>
                <c:pt idx="21">
                  <c:v>8394.979999999998</c:v>
                </c:pt>
                <c:pt idx="22">
                  <c:v>8532.439999999999</c:v>
                </c:pt>
                <c:pt idx="23">
                  <c:v>8831.049999999999</c:v>
                </c:pt>
                <c:pt idx="24">
                  <c:v>9206.07</c:v>
                </c:pt>
                <c:pt idx="25">
                  <c:v>9768.77</c:v>
                </c:pt>
                <c:pt idx="26">
                  <c:v>10330.16</c:v>
                </c:pt>
                <c:pt idx="27">
                  <c:v>10958.25</c:v>
                </c:pt>
                <c:pt idx="28">
                  <c:v>11411.41</c:v>
                </c:pt>
                <c:pt idx="29">
                  <c:v>12524.47</c:v>
                </c:pt>
                <c:pt idx="30">
                  <c:v>13797.46</c:v>
                </c:pt>
                <c:pt idx="31">
                  <c:v>14968.27</c:v>
                </c:pt>
                <c:pt idx="32">
                  <c:v>15646.72</c:v>
                </c:pt>
                <c:pt idx="33">
                  <c:v>16021.88</c:v>
                </c:pt>
                <c:pt idx="34">
                  <c:v>16360.53999999999</c:v>
                </c:pt>
                <c:pt idx="35">
                  <c:v>16493.36</c:v>
                </c:pt>
                <c:pt idx="36">
                  <c:v>16735.96</c:v>
                </c:pt>
                <c:pt idx="37">
                  <c:v>17447.84</c:v>
                </c:pt>
                <c:pt idx="38">
                  <c:v>19584.62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4927144"/>
        <c:axId val="1864581384"/>
      </c:scatterChart>
      <c:scatterChart>
        <c:scatterStyle val="smoothMarker"/>
        <c:varyColors val="0"/>
        <c:ser>
          <c:idx val="7"/>
          <c:order val="1"/>
          <c:tx>
            <c:strRef>
              <c:f>AllePanelen!$I$1</c:f>
              <c:strCache>
                <c:ptCount val="1"/>
                <c:pt idx="0">
                  <c:v>kWh/dag</c:v>
                </c:pt>
              </c:strCache>
            </c:strRef>
          </c:tx>
          <c:marker>
            <c:symbol val="none"/>
          </c:marker>
          <c:xVal>
            <c:numRef>
              <c:f>AllePanelen!$A$2:$A$40</c:f>
              <c:numCache>
                <c:formatCode>d\-mmm\-yy</c:formatCode>
                <c:ptCount val="39"/>
                <c:pt idx="0">
                  <c:v>42078.0</c:v>
                </c:pt>
                <c:pt idx="1">
                  <c:v>42099.0</c:v>
                </c:pt>
                <c:pt idx="2">
                  <c:v>42109.0</c:v>
                </c:pt>
                <c:pt idx="3">
                  <c:v>42122.0</c:v>
                </c:pt>
                <c:pt idx="4">
                  <c:v>42125.0</c:v>
                </c:pt>
                <c:pt idx="5">
                  <c:v>42140.0</c:v>
                </c:pt>
                <c:pt idx="6">
                  <c:v>42156.0</c:v>
                </c:pt>
                <c:pt idx="7">
                  <c:v>42169.0</c:v>
                </c:pt>
                <c:pt idx="8">
                  <c:v>42193.0</c:v>
                </c:pt>
                <c:pt idx="9">
                  <c:v>42203.0</c:v>
                </c:pt>
                <c:pt idx="10">
                  <c:v>42219.0</c:v>
                </c:pt>
                <c:pt idx="11">
                  <c:v>42232.0</c:v>
                </c:pt>
                <c:pt idx="12">
                  <c:v>42245.0</c:v>
                </c:pt>
                <c:pt idx="13">
                  <c:v>42284.0</c:v>
                </c:pt>
                <c:pt idx="14">
                  <c:v>42294.0</c:v>
                </c:pt>
                <c:pt idx="15">
                  <c:v>42309.0</c:v>
                </c:pt>
                <c:pt idx="16">
                  <c:v>42322.0</c:v>
                </c:pt>
                <c:pt idx="17">
                  <c:v>42358.0</c:v>
                </c:pt>
                <c:pt idx="18">
                  <c:v>42371.0</c:v>
                </c:pt>
                <c:pt idx="19">
                  <c:v>42386.0</c:v>
                </c:pt>
                <c:pt idx="20">
                  <c:v>42403.0</c:v>
                </c:pt>
                <c:pt idx="21">
                  <c:v>42422.0</c:v>
                </c:pt>
                <c:pt idx="22">
                  <c:v>42430.0</c:v>
                </c:pt>
                <c:pt idx="23">
                  <c:v>42444.0</c:v>
                </c:pt>
                <c:pt idx="24">
                  <c:v>42461.0</c:v>
                </c:pt>
                <c:pt idx="25">
                  <c:v>42478.0</c:v>
                </c:pt>
                <c:pt idx="26">
                  <c:v>42493.0</c:v>
                </c:pt>
                <c:pt idx="27">
                  <c:v>42506.0</c:v>
                </c:pt>
                <c:pt idx="28">
                  <c:v>42522.0</c:v>
                </c:pt>
                <c:pt idx="29">
                  <c:v>42552.0</c:v>
                </c:pt>
                <c:pt idx="30">
                  <c:v>42585.0</c:v>
                </c:pt>
                <c:pt idx="31">
                  <c:v>42619.0</c:v>
                </c:pt>
                <c:pt idx="32">
                  <c:v>42644.0</c:v>
                </c:pt>
                <c:pt idx="33">
                  <c:v>42675.0</c:v>
                </c:pt>
                <c:pt idx="34">
                  <c:v>42746.0</c:v>
                </c:pt>
                <c:pt idx="35">
                  <c:v>42767.0</c:v>
                </c:pt>
                <c:pt idx="36">
                  <c:v>42795.0</c:v>
                </c:pt>
                <c:pt idx="37">
                  <c:v>42826.0</c:v>
                </c:pt>
                <c:pt idx="38">
                  <c:v>42887.0</c:v>
                </c:pt>
              </c:numCache>
            </c:numRef>
          </c:xVal>
          <c:yVal>
            <c:numRef>
              <c:f>AllePanelen!$I$2:$I$40</c:f>
              <c:numCache>
                <c:formatCode>0</c:formatCode>
                <c:ptCount val="39"/>
                <c:pt idx="1">
                  <c:v>22.5861904761905</c:v>
                </c:pt>
                <c:pt idx="2">
                  <c:v>40.97299999999995</c:v>
                </c:pt>
                <c:pt idx="3">
                  <c:v>43.06461538461546</c:v>
                </c:pt>
                <c:pt idx="4">
                  <c:v>39.40999999999955</c:v>
                </c:pt>
                <c:pt idx="5">
                  <c:v>45.64133333333333</c:v>
                </c:pt>
                <c:pt idx="6">
                  <c:v>38.61500000000012</c:v>
                </c:pt>
                <c:pt idx="7">
                  <c:v>44.1646153846152</c:v>
                </c:pt>
                <c:pt idx="8">
                  <c:v>50.87333333333337</c:v>
                </c:pt>
                <c:pt idx="9">
                  <c:v>40.42999999999992</c:v>
                </c:pt>
                <c:pt idx="10">
                  <c:v>37.7750000000001</c:v>
                </c:pt>
                <c:pt idx="11">
                  <c:v>36.86923076923085</c:v>
                </c:pt>
                <c:pt idx="12">
                  <c:v>28.30769230769217</c:v>
                </c:pt>
                <c:pt idx="13">
                  <c:v>24.46999999999995</c:v>
                </c:pt>
                <c:pt idx="14">
                  <c:v>10.92700000000004</c:v>
                </c:pt>
                <c:pt idx="15">
                  <c:v>10.55333333333341</c:v>
                </c:pt>
                <c:pt idx="16">
                  <c:v>6.80384615384621</c:v>
                </c:pt>
                <c:pt idx="17">
                  <c:v>5.086388888888854</c:v>
                </c:pt>
                <c:pt idx="18">
                  <c:v>4.959230769230719</c:v>
                </c:pt>
                <c:pt idx="19">
                  <c:v>4.122666666666798</c:v>
                </c:pt>
                <c:pt idx="20">
                  <c:v>5.055882352941112</c:v>
                </c:pt>
                <c:pt idx="21">
                  <c:v>9.136315789473596</c:v>
                </c:pt>
                <c:pt idx="22">
                  <c:v>17.18250000000012</c:v>
                </c:pt>
                <c:pt idx="23">
                  <c:v>21.32928571428576</c:v>
                </c:pt>
                <c:pt idx="24">
                  <c:v>22.06000000000003</c:v>
                </c:pt>
                <c:pt idx="25">
                  <c:v>33.10000000000004</c:v>
                </c:pt>
                <c:pt idx="26">
                  <c:v>37.42599999999995</c:v>
                </c:pt>
                <c:pt idx="27">
                  <c:v>48.31461538461539</c:v>
                </c:pt>
                <c:pt idx="28">
                  <c:v>28.32249999999976</c:v>
                </c:pt>
                <c:pt idx="29">
                  <c:v>37.10200000000017</c:v>
                </c:pt>
                <c:pt idx="30">
                  <c:v>38.57545454545448</c:v>
                </c:pt>
                <c:pt idx="31">
                  <c:v>34.43558823529405</c:v>
                </c:pt>
                <c:pt idx="32">
                  <c:v>27.13800000000018</c:v>
                </c:pt>
                <c:pt idx="33">
                  <c:v>12.10193548387084</c:v>
                </c:pt>
                <c:pt idx="34">
                  <c:v>4.769859154929524</c:v>
                </c:pt>
                <c:pt idx="35">
                  <c:v>6.324761904762237</c:v>
                </c:pt>
                <c:pt idx="36">
                  <c:v>8.664285714285531</c:v>
                </c:pt>
                <c:pt idx="37">
                  <c:v>22.96387096774209</c:v>
                </c:pt>
                <c:pt idx="38">
                  <c:v>35.0291803278689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4587720"/>
        <c:axId val="1864584424"/>
      </c:scatterChart>
      <c:valAx>
        <c:axId val="1864927144"/>
        <c:scaling>
          <c:orientation val="minMax"/>
          <c:min val="42066.0"/>
        </c:scaling>
        <c:delete val="0"/>
        <c:axPos val="b"/>
        <c:majorGridlines/>
        <c:numFmt formatCode="d\-mmm\-yy" sourceLinked="1"/>
        <c:majorTickMark val="out"/>
        <c:minorTickMark val="none"/>
        <c:tickLblPos val="nextTo"/>
        <c:crossAx val="1864581384"/>
        <c:crosses val="autoZero"/>
        <c:crossBetween val="midCat"/>
        <c:majorUnit val="30.0"/>
      </c:valAx>
      <c:valAx>
        <c:axId val="1864581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4927144"/>
        <c:crosses val="autoZero"/>
        <c:crossBetween val="midCat"/>
      </c:valAx>
      <c:valAx>
        <c:axId val="186458442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crossAx val="1864587720"/>
        <c:crosses val="max"/>
        <c:crossBetween val="midCat"/>
      </c:valAx>
      <c:valAx>
        <c:axId val="1864587720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one"/>
        <c:crossAx val="18645844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793750</xdr:colOff>
      <xdr:row>8</xdr:row>
      <xdr:rowOff>139700</xdr:rowOff>
    </xdr:from>
    <xdr:to>
      <xdr:col>17</xdr:col>
      <xdr:colOff>508000</xdr:colOff>
      <xdr:row>35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36</xdr:row>
      <xdr:rowOff>171450</xdr:rowOff>
    </xdr:from>
    <xdr:to>
      <xdr:col>17</xdr:col>
      <xdr:colOff>581025</xdr:colOff>
      <xdr:row>63</xdr:row>
      <xdr:rowOff>171450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793750</xdr:colOff>
      <xdr:row>8</xdr:row>
      <xdr:rowOff>139700</xdr:rowOff>
    </xdr:from>
    <xdr:to>
      <xdr:col>17</xdr:col>
      <xdr:colOff>508000</xdr:colOff>
      <xdr:row>35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793750</xdr:colOff>
      <xdr:row>8</xdr:row>
      <xdr:rowOff>139700</xdr:rowOff>
    </xdr:from>
    <xdr:to>
      <xdr:col>17</xdr:col>
      <xdr:colOff>508000</xdr:colOff>
      <xdr:row>35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793750</xdr:colOff>
      <xdr:row>8</xdr:row>
      <xdr:rowOff>139700</xdr:rowOff>
    </xdr:from>
    <xdr:to>
      <xdr:col>17</xdr:col>
      <xdr:colOff>508000</xdr:colOff>
      <xdr:row>35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793750</xdr:colOff>
      <xdr:row>8</xdr:row>
      <xdr:rowOff>139700</xdr:rowOff>
    </xdr:from>
    <xdr:to>
      <xdr:col>17</xdr:col>
      <xdr:colOff>508000</xdr:colOff>
      <xdr:row>35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9</xdr:row>
      <xdr:rowOff>88900</xdr:rowOff>
    </xdr:from>
    <xdr:to>
      <xdr:col>18</xdr:col>
      <xdr:colOff>762000</xdr:colOff>
      <xdr:row>36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5</xdr:row>
      <xdr:rowOff>180974</xdr:rowOff>
    </xdr:from>
    <xdr:to>
      <xdr:col>17</xdr:col>
      <xdr:colOff>152400</xdr:colOff>
      <xdr:row>22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95251</xdr:colOff>
      <xdr:row>6</xdr:row>
      <xdr:rowOff>180975</xdr:rowOff>
    </xdr:from>
    <xdr:to>
      <xdr:col>11</xdr:col>
      <xdr:colOff>38101</xdr:colOff>
      <xdr:row>9</xdr:row>
      <xdr:rowOff>47625</xdr:rowOff>
    </xdr:to>
    <xdr:sp macro="" textlink="">
      <xdr:nvSpPr>
        <xdr:cNvPr id="4" name="TextBox 3"/>
        <xdr:cNvSpPr txBox="1"/>
      </xdr:nvSpPr>
      <xdr:spPr>
        <a:xfrm>
          <a:off x="4972051" y="1323975"/>
          <a:ext cx="1771650" cy="4381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Opbrengst</a:t>
          </a:r>
          <a:r>
            <a:rPr lang="en-US" sz="1100" baseline="0"/>
            <a:t> Act:    4.08 kWh</a:t>
          </a:r>
        </a:p>
        <a:p>
          <a:r>
            <a:rPr lang="en-US" sz="1100" baseline="0"/>
            <a:t>Opbr. zondr. bm: 4.55 kWh</a:t>
          </a:r>
          <a:endParaRPr lang="en-US" sz="1100"/>
        </a:p>
      </xdr:txBody>
    </xdr:sp>
    <xdr:clientData/>
  </xdr:twoCellAnchor>
  <xdr:twoCellAnchor>
    <xdr:from>
      <xdr:col>8</xdr:col>
      <xdr:colOff>85726</xdr:colOff>
      <xdr:row>17</xdr:row>
      <xdr:rowOff>28575</xdr:rowOff>
    </xdr:from>
    <xdr:to>
      <xdr:col>11</xdr:col>
      <xdr:colOff>28576</xdr:colOff>
      <xdr:row>19</xdr:row>
      <xdr:rowOff>85725</xdr:rowOff>
    </xdr:to>
    <xdr:sp macro="" textlink="">
      <xdr:nvSpPr>
        <xdr:cNvPr id="5" name="TextBox 4"/>
        <xdr:cNvSpPr txBox="1"/>
      </xdr:nvSpPr>
      <xdr:spPr>
        <a:xfrm>
          <a:off x="4962526" y="3267075"/>
          <a:ext cx="1771650" cy="4381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Opbr + boom1</a:t>
          </a:r>
          <a:r>
            <a:rPr lang="en-US" sz="1100" baseline="0"/>
            <a:t>:    0.93 kWh</a:t>
          </a:r>
        </a:p>
        <a:p>
          <a:r>
            <a:rPr lang="en-US" sz="1100" baseline="0"/>
            <a:t>Opbr. zondr. b1:  1.09 kWh</a:t>
          </a:r>
          <a:endParaRPr lang="en-US" sz="1100"/>
        </a:p>
      </xdr:txBody>
    </xdr:sp>
    <xdr:clientData/>
  </xdr:twoCellAnchor>
  <xdr:twoCellAnchor>
    <xdr:from>
      <xdr:col>14</xdr:col>
      <xdr:colOff>114301</xdr:colOff>
      <xdr:row>14</xdr:row>
      <xdr:rowOff>85725</xdr:rowOff>
    </xdr:from>
    <xdr:to>
      <xdr:col>17</xdr:col>
      <xdr:colOff>57151</xdr:colOff>
      <xdr:row>16</xdr:row>
      <xdr:rowOff>142875</xdr:rowOff>
    </xdr:to>
    <xdr:sp macro="" textlink="">
      <xdr:nvSpPr>
        <xdr:cNvPr id="6" name="TextBox 5"/>
        <xdr:cNvSpPr txBox="1"/>
      </xdr:nvSpPr>
      <xdr:spPr>
        <a:xfrm>
          <a:off x="8648701" y="2752725"/>
          <a:ext cx="1771650" cy="4381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Opbr</a:t>
          </a:r>
          <a:r>
            <a:rPr lang="en-US" sz="1100" baseline="0"/>
            <a:t> +boom2:    0.44 kWh</a:t>
          </a:r>
        </a:p>
        <a:p>
          <a:r>
            <a:rPr lang="en-US" sz="1100" baseline="0"/>
            <a:t>Opbr. zondr. b2: 0.76 kWh</a:t>
          </a:r>
          <a:endParaRPr lang="en-US" sz="1100"/>
        </a:p>
      </xdr:txBody>
    </xdr:sp>
    <xdr:clientData/>
  </xdr:twoCellAnchor>
  <xdr:twoCellAnchor>
    <xdr:from>
      <xdr:col>11</xdr:col>
      <xdr:colOff>47625</xdr:colOff>
      <xdr:row>13</xdr:row>
      <xdr:rowOff>57150</xdr:rowOff>
    </xdr:from>
    <xdr:to>
      <xdr:col>12</xdr:col>
      <xdr:colOff>266700</xdr:colOff>
      <xdr:row>17</xdr:row>
      <xdr:rowOff>28575</xdr:rowOff>
    </xdr:to>
    <xdr:cxnSp macro="">
      <xdr:nvCxnSpPr>
        <xdr:cNvPr id="8" name="Straight Arrow Connector 7"/>
        <xdr:cNvCxnSpPr/>
      </xdr:nvCxnSpPr>
      <xdr:spPr>
        <a:xfrm flipV="1">
          <a:off x="6753225" y="2533650"/>
          <a:ext cx="828675" cy="7334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219075</xdr:colOff>
      <xdr:row>14</xdr:row>
      <xdr:rowOff>85725</xdr:rowOff>
    </xdr:from>
    <xdr:to>
      <xdr:col>14</xdr:col>
      <xdr:colOff>104775</xdr:colOff>
      <xdr:row>16</xdr:row>
      <xdr:rowOff>133350</xdr:rowOff>
    </xdr:to>
    <xdr:cxnSp macro="">
      <xdr:nvCxnSpPr>
        <xdr:cNvPr id="10" name="Straight Arrow Connector 9"/>
        <xdr:cNvCxnSpPr/>
      </xdr:nvCxnSpPr>
      <xdr:spPr>
        <a:xfrm flipH="1">
          <a:off x="8143875" y="2752725"/>
          <a:ext cx="495300" cy="4286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555624</xdr:colOff>
      <xdr:row>42</xdr:row>
      <xdr:rowOff>34925</xdr:rowOff>
    </xdr:from>
    <xdr:to>
      <xdr:col>19</xdr:col>
      <xdr:colOff>635000</xdr:colOff>
      <xdr:row>63</xdr:row>
      <xdr:rowOff>34925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omments" Target="../comments1.xml"/><Relationship Id="rId1" Type="http://schemas.openxmlformats.org/officeDocument/2006/relationships/hyperlink" Target="http://www.greenchoice.nl/thuis/klant-worden/tarieven/kortingsgarantie-tarief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reenchoice.nl/thuis/klant-worden/tarieven/kortingsgarantie-tarief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4" Type="http://schemas.openxmlformats.org/officeDocument/2006/relationships/comments" Target="../comments2.xml"/><Relationship Id="rId1" Type="http://schemas.openxmlformats.org/officeDocument/2006/relationships/hyperlink" Target="http://www.greenchoice.nl/thuis/klant-worden/tarieven/kortingsgarantie-tarief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4" Type="http://schemas.openxmlformats.org/officeDocument/2006/relationships/comments" Target="../comments3.xml"/><Relationship Id="rId1" Type="http://schemas.openxmlformats.org/officeDocument/2006/relationships/hyperlink" Target="http://www.greenchoice.nl/thuis/klant-worden/tarieven/kortingsgarantie-tarief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reenchoice.nl/thuis/klant-worden/tarieven/kortingsgarantie-tarief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4" Type="http://schemas.openxmlformats.org/officeDocument/2006/relationships/comments" Target="../comments4.xml"/><Relationship Id="rId1" Type="http://schemas.openxmlformats.org/officeDocument/2006/relationships/hyperlink" Target="http://www.greenchoice.nl/thuis/klant-worden/tarieven/kortingsgarantie-tarief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2"/>
  <sheetViews>
    <sheetView workbookViewId="0">
      <selection activeCell="C111" sqref="C111:E112"/>
    </sheetView>
  </sheetViews>
  <sheetFormatPr baseColWidth="10" defaultColWidth="11.5" defaultRowHeight="14" x14ac:dyDescent="0"/>
  <cols>
    <col min="3" max="3" width="11.5" style="1"/>
    <col min="5" max="5" width="11.5" style="14"/>
  </cols>
  <sheetData>
    <row r="1" spans="1:15">
      <c r="A1" t="s">
        <v>0</v>
      </c>
      <c r="B1" t="s">
        <v>1</v>
      </c>
      <c r="C1" s="1" t="s">
        <v>2</v>
      </c>
      <c r="D1" t="s">
        <v>3</v>
      </c>
      <c r="E1" s="14" t="s">
        <v>37</v>
      </c>
      <c r="F1" s="15"/>
      <c r="G1" s="15" t="s">
        <v>38</v>
      </c>
      <c r="I1" t="s">
        <v>4</v>
      </c>
      <c r="J1" s="2" t="s">
        <v>5</v>
      </c>
    </row>
    <row r="2" spans="1:15">
      <c r="A2" s="3">
        <v>41342</v>
      </c>
      <c r="B2">
        <v>0</v>
      </c>
      <c r="C2" s="1">
        <v>0</v>
      </c>
      <c r="D2">
        <v>0.22570000000000001</v>
      </c>
      <c r="E2" s="14">
        <v>1</v>
      </c>
      <c r="F2" s="15" t="s">
        <v>68</v>
      </c>
      <c r="G2" s="16">
        <f>(1773+2*11-0)/1.92</f>
        <v>934.89583333333337</v>
      </c>
      <c r="I2" t="s">
        <v>6</v>
      </c>
      <c r="J2">
        <v>3200</v>
      </c>
      <c r="L2" t="s">
        <v>7</v>
      </c>
      <c r="M2">
        <v>1920</v>
      </c>
      <c r="N2" t="s">
        <v>8</v>
      </c>
    </row>
    <row r="3" spans="1:15">
      <c r="A3" s="3">
        <v>41364</v>
      </c>
      <c r="B3">
        <v>119</v>
      </c>
      <c r="C3" s="1">
        <f>(B3-B2)*D3+C2</f>
        <v>26.8583</v>
      </c>
      <c r="D3">
        <v>0.22570000000000001</v>
      </c>
      <c r="E3" s="14">
        <f>D3/$D$2</f>
        <v>1</v>
      </c>
      <c r="F3" s="15" t="s">
        <v>69</v>
      </c>
      <c r="G3" s="16">
        <f>(3568+8*11-1773-11-11)/1.92</f>
        <v>969.27083333333337</v>
      </c>
      <c r="I3" t="s">
        <v>9</v>
      </c>
      <c r="J3">
        <f>0.15*J2</f>
        <v>480</v>
      </c>
    </row>
    <row r="4" spans="1:15">
      <c r="A4" s="3">
        <v>41370</v>
      </c>
      <c r="B4">
        <v>150</v>
      </c>
      <c r="C4" s="1">
        <f>(B4-B3)*D4+C3</f>
        <v>33.855000000000004</v>
      </c>
      <c r="D4">
        <v>0.22570000000000001</v>
      </c>
      <c r="E4" s="14">
        <f t="shared" ref="E4:E67" si="0">D4/$D$2</f>
        <v>1</v>
      </c>
      <c r="F4" s="15" t="s">
        <v>70</v>
      </c>
      <c r="G4" s="16">
        <f>(B84-B58)/(0.001*M2)</f>
        <v>989.58333333333337</v>
      </c>
      <c r="I4" t="s">
        <v>10</v>
      </c>
      <c r="J4">
        <v>200</v>
      </c>
    </row>
    <row r="5" spans="1:15">
      <c r="A5" s="3">
        <v>41375</v>
      </c>
      <c r="B5">
        <v>176</v>
      </c>
      <c r="C5" s="1">
        <f>(B5-B4)*D5+C4</f>
        <v>39.723200000000006</v>
      </c>
      <c r="D5">
        <v>0.22570000000000001</v>
      </c>
      <c r="E5" s="14">
        <f t="shared" si="0"/>
        <v>1</v>
      </c>
      <c r="F5" s="15" t="s">
        <v>73</v>
      </c>
      <c r="G5" s="16">
        <f>(B96-B73)/(0.001*M2)</f>
        <v>1004.6875</v>
      </c>
      <c r="I5" t="s">
        <v>11</v>
      </c>
      <c r="J5">
        <f>J2-J3+J4</f>
        <v>2920</v>
      </c>
      <c r="K5" s="4">
        <f>J5/M2</f>
        <v>1.5208333333333333</v>
      </c>
      <c r="L5" s="5" t="s">
        <v>12</v>
      </c>
    </row>
    <row r="6" spans="1:15">
      <c r="A6" s="3">
        <v>41399</v>
      </c>
      <c r="B6">
        <v>361</v>
      </c>
      <c r="C6" s="1">
        <f t="shared" ref="C6:C78" si="1">(B6-B5)*D6+C5</f>
        <v>81.477699999999999</v>
      </c>
      <c r="D6">
        <v>0.22570000000000001</v>
      </c>
      <c r="E6" s="14">
        <f t="shared" si="0"/>
        <v>1</v>
      </c>
      <c r="F6" s="15" t="s">
        <v>75</v>
      </c>
      <c r="G6" s="16">
        <f>(B104-B84)/(0.001*M2)</f>
        <v>929.16666666666674</v>
      </c>
    </row>
    <row r="7" spans="1:15">
      <c r="A7" s="3">
        <v>41402</v>
      </c>
      <c r="B7">
        <v>393</v>
      </c>
      <c r="C7" s="1">
        <f t="shared" si="1"/>
        <v>88.700099999999992</v>
      </c>
      <c r="D7">
        <v>0.22570000000000001</v>
      </c>
      <c r="E7" s="14">
        <f t="shared" si="0"/>
        <v>1</v>
      </c>
      <c r="F7" s="15" t="s">
        <v>76</v>
      </c>
      <c r="G7" s="16">
        <f>(B110-B96)/(0.001*M2)</f>
        <v>939.58333333333337</v>
      </c>
      <c r="J7" s="6">
        <f>MAX(C:C)/J5</f>
        <v>0.57160387565068504</v>
      </c>
      <c r="K7" t="s">
        <v>13</v>
      </c>
      <c r="M7" t="s">
        <v>14</v>
      </c>
      <c r="N7" s="7">
        <f>1/J7*(MAX(A:A)-MIN(A:A))+MIN(A:A)</f>
        <v>44044.920791503122</v>
      </c>
    </row>
    <row r="8" spans="1:15">
      <c r="A8" s="3">
        <v>41405</v>
      </c>
      <c r="B8">
        <v>415</v>
      </c>
      <c r="C8" s="1">
        <f t="shared" si="1"/>
        <v>93.665499999999994</v>
      </c>
      <c r="D8">
        <v>0.22570000000000001</v>
      </c>
      <c r="E8" s="14">
        <f t="shared" si="0"/>
        <v>1</v>
      </c>
      <c r="M8" t="s">
        <v>15</v>
      </c>
      <c r="N8" s="8">
        <f>(N7-A2)/365</f>
        <v>7.4052624424743065</v>
      </c>
      <c r="O8" s="9" t="s">
        <v>16</v>
      </c>
    </row>
    <row r="9" spans="1:15">
      <c r="A9" s="3">
        <v>41411</v>
      </c>
      <c r="B9">
        <v>440</v>
      </c>
      <c r="C9" s="1">
        <f t="shared" si="1"/>
        <v>99.307999999999993</v>
      </c>
      <c r="D9">
        <v>0.22570000000000001</v>
      </c>
      <c r="E9" s="14">
        <f t="shared" si="0"/>
        <v>1</v>
      </c>
    </row>
    <row r="10" spans="1:15">
      <c r="A10" s="3">
        <v>41420</v>
      </c>
      <c r="B10">
        <v>486</v>
      </c>
      <c r="C10" s="1">
        <f t="shared" si="1"/>
        <v>109.69019999999999</v>
      </c>
      <c r="D10">
        <v>0.22570000000000001</v>
      </c>
      <c r="E10" s="14">
        <f t="shared" si="0"/>
        <v>1</v>
      </c>
    </row>
    <row r="11" spans="1:15">
      <c r="A11" s="3">
        <v>41430</v>
      </c>
      <c r="B11">
        <v>569</v>
      </c>
      <c r="C11" s="1">
        <f t="shared" si="1"/>
        <v>128.42329999999998</v>
      </c>
      <c r="D11">
        <v>0.22570000000000001</v>
      </c>
      <c r="E11" s="14">
        <f t="shared" si="0"/>
        <v>1</v>
      </c>
    </row>
    <row r="12" spans="1:15">
      <c r="A12" s="3">
        <v>41468</v>
      </c>
      <c r="B12">
        <v>850</v>
      </c>
      <c r="C12" s="1">
        <f t="shared" si="1"/>
        <v>191.47969999999998</v>
      </c>
      <c r="D12">
        <v>0.22439999999999999</v>
      </c>
      <c r="E12" s="14">
        <f t="shared" si="0"/>
        <v>0.9942401417811253</v>
      </c>
    </row>
    <row r="13" spans="1:15">
      <c r="A13" s="3">
        <v>41480</v>
      </c>
      <c r="B13">
        <v>964</v>
      </c>
      <c r="C13" s="1">
        <f t="shared" si="1"/>
        <v>217.06129999999999</v>
      </c>
      <c r="D13">
        <v>0.22439999999999999</v>
      </c>
      <c r="E13" s="14">
        <f t="shared" si="0"/>
        <v>0.9942401417811253</v>
      </c>
    </row>
    <row r="14" spans="1:15">
      <c r="A14" s="3">
        <v>41494</v>
      </c>
      <c r="B14">
        <v>1073</v>
      </c>
      <c r="C14" s="1">
        <f t="shared" si="1"/>
        <v>241.52089999999998</v>
      </c>
      <c r="D14">
        <v>0.22439999999999999</v>
      </c>
      <c r="E14" s="14">
        <f t="shared" si="0"/>
        <v>0.9942401417811253</v>
      </c>
    </row>
    <row r="15" spans="1:15">
      <c r="A15" s="3">
        <v>41514</v>
      </c>
      <c r="B15">
        <v>1214</v>
      </c>
      <c r="C15" s="1">
        <f t="shared" si="1"/>
        <v>273.16129999999998</v>
      </c>
      <c r="D15">
        <v>0.22439999999999999</v>
      </c>
      <c r="E15" s="14">
        <f t="shared" si="0"/>
        <v>0.9942401417811253</v>
      </c>
    </row>
    <row r="16" spans="1:15">
      <c r="A16" s="3">
        <v>41526</v>
      </c>
      <c r="B16">
        <v>1294</v>
      </c>
      <c r="C16" s="1">
        <f t="shared" si="1"/>
        <v>291.11329999999998</v>
      </c>
      <c r="D16">
        <v>0.22439999999999999</v>
      </c>
      <c r="E16" s="14">
        <f t="shared" si="0"/>
        <v>0.9942401417811253</v>
      </c>
    </row>
    <row r="17" spans="1:5">
      <c r="A17" s="3">
        <v>41537</v>
      </c>
      <c r="B17">
        <v>1347</v>
      </c>
      <c r="C17" s="1">
        <f t="shared" si="1"/>
        <v>303.00649999999996</v>
      </c>
      <c r="D17">
        <v>0.22439999999999999</v>
      </c>
      <c r="E17" s="14">
        <f t="shared" si="0"/>
        <v>0.9942401417811253</v>
      </c>
    </row>
    <row r="18" spans="1:5">
      <c r="A18" s="3">
        <v>41547</v>
      </c>
      <c r="B18">
        <v>1411</v>
      </c>
      <c r="C18" s="1">
        <f t="shared" si="1"/>
        <v>317.36809999999997</v>
      </c>
      <c r="D18">
        <v>0.22439999999999999</v>
      </c>
      <c r="E18" s="14">
        <f t="shared" si="0"/>
        <v>0.9942401417811253</v>
      </c>
    </row>
    <row r="19" spans="1:5">
      <c r="A19" s="3">
        <v>41554</v>
      </c>
      <c r="B19">
        <v>1454</v>
      </c>
      <c r="C19" s="1">
        <f t="shared" si="1"/>
        <v>327.01729999999998</v>
      </c>
      <c r="D19">
        <v>0.22439999999999999</v>
      </c>
      <c r="E19" s="14">
        <f t="shared" si="0"/>
        <v>0.9942401417811253</v>
      </c>
    </row>
    <row r="20" spans="1:5">
      <c r="A20" s="3">
        <v>41578</v>
      </c>
      <c r="B20">
        <v>1510</v>
      </c>
      <c r="C20" s="1">
        <f t="shared" si="1"/>
        <v>339.58369999999996</v>
      </c>
      <c r="D20">
        <v>0.22439999999999999</v>
      </c>
      <c r="E20" s="14">
        <f t="shared" si="0"/>
        <v>0.9942401417811253</v>
      </c>
    </row>
    <row r="21" spans="1:5">
      <c r="A21" s="3">
        <v>41613</v>
      </c>
      <c r="B21">
        <v>1550</v>
      </c>
      <c r="C21" s="1">
        <f t="shared" si="1"/>
        <v>348.55969999999996</v>
      </c>
      <c r="D21">
        <v>0.22439999999999999</v>
      </c>
      <c r="E21" s="14">
        <f t="shared" si="0"/>
        <v>0.9942401417811253</v>
      </c>
    </row>
    <row r="22" spans="1:5">
      <c r="A22" s="3">
        <v>41620</v>
      </c>
      <c r="B22">
        <v>1557</v>
      </c>
      <c r="C22" s="1">
        <f t="shared" si="1"/>
        <v>350.13049999999998</v>
      </c>
      <c r="D22">
        <v>0.22439999999999999</v>
      </c>
      <c r="E22" s="14">
        <f t="shared" si="0"/>
        <v>0.9942401417811253</v>
      </c>
    </row>
    <row r="23" spans="1:5">
      <c r="A23" s="3">
        <v>41621</v>
      </c>
      <c r="B23">
        <v>1561</v>
      </c>
      <c r="C23" s="1">
        <f t="shared" si="1"/>
        <v>351.02809999999999</v>
      </c>
      <c r="D23">
        <v>0.22439999999999999</v>
      </c>
      <c r="E23" s="14">
        <f t="shared" si="0"/>
        <v>0.9942401417811253</v>
      </c>
    </row>
    <row r="24" spans="1:5">
      <c r="A24" s="3">
        <v>41648</v>
      </c>
      <c r="B24">
        <v>1597</v>
      </c>
      <c r="C24" s="1">
        <f t="shared" si="1"/>
        <v>359.20729999999998</v>
      </c>
      <c r="D24">
        <v>0.22720000000000001</v>
      </c>
      <c r="E24" s="14">
        <f t="shared" si="0"/>
        <v>1.0066459902525475</v>
      </c>
    </row>
    <row r="25" spans="1:5">
      <c r="A25" s="3">
        <v>41649</v>
      </c>
      <c r="B25">
        <v>1601</v>
      </c>
      <c r="C25" s="1">
        <f t="shared" si="1"/>
        <v>360.11609999999996</v>
      </c>
      <c r="D25">
        <v>0.22720000000000001</v>
      </c>
      <c r="E25" s="14">
        <f t="shared" si="0"/>
        <v>1.0066459902525475</v>
      </c>
    </row>
    <row r="26" spans="1:5">
      <c r="A26" s="3">
        <v>41659</v>
      </c>
      <c r="B26">
        <v>1615</v>
      </c>
      <c r="C26" s="1">
        <f t="shared" si="1"/>
        <v>363.29689999999994</v>
      </c>
      <c r="D26">
        <v>0.22720000000000001</v>
      </c>
      <c r="E26" s="14">
        <f t="shared" si="0"/>
        <v>1.0066459902525475</v>
      </c>
    </row>
    <row r="27" spans="1:5">
      <c r="A27" s="3">
        <v>41667</v>
      </c>
      <c r="B27">
        <v>1626</v>
      </c>
      <c r="C27" s="1">
        <f t="shared" si="1"/>
        <v>365.79609999999991</v>
      </c>
      <c r="D27">
        <v>0.22720000000000001</v>
      </c>
      <c r="E27" s="14">
        <f t="shared" si="0"/>
        <v>1.0066459902525475</v>
      </c>
    </row>
    <row r="28" spans="1:5">
      <c r="A28" s="3">
        <v>41671</v>
      </c>
      <c r="B28">
        <v>1639</v>
      </c>
      <c r="C28" s="1">
        <f t="shared" si="1"/>
        <v>368.7496999999999</v>
      </c>
      <c r="D28">
        <v>0.22720000000000001</v>
      </c>
      <c r="E28" s="14">
        <f t="shared" si="0"/>
        <v>1.0066459902525475</v>
      </c>
    </row>
    <row r="29" spans="1:5">
      <c r="A29" s="3">
        <v>41673</v>
      </c>
      <c r="B29">
        <v>1651</v>
      </c>
      <c r="C29" s="1">
        <f t="shared" si="1"/>
        <v>371.47609999999992</v>
      </c>
      <c r="D29">
        <v>0.22720000000000001</v>
      </c>
      <c r="E29" s="14">
        <f t="shared" si="0"/>
        <v>1.0066459902525475</v>
      </c>
    </row>
    <row r="30" spans="1:5">
      <c r="A30" s="3">
        <v>41681</v>
      </c>
      <c r="B30">
        <v>1669</v>
      </c>
      <c r="C30" s="1">
        <f t="shared" si="1"/>
        <v>375.56569999999994</v>
      </c>
      <c r="D30">
        <v>0.22720000000000001</v>
      </c>
      <c r="E30" s="14">
        <f t="shared" si="0"/>
        <v>1.0066459902525475</v>
      </c>
    </row>
    <row r="31" spans="1:5">
      <c r="A31" s="3">
        <v>41687</v>
      </c>
      <c r="B31">
        <v>1687</v>
      </c>
      <c r="C31" s="1">
        <f t="shared" si="1"/>
        <v>379.65529999999995</v>
      </c>
      <c r="D31">
        <v>0.22720000000000001</v>
      </c>
      <c r="E31" s="14">
        <f t="shared" si="0"/>
        <v>1.0066459902525475</v>
      </c>
    </row>
    <row r="32" spans="1:5">
      <c r="A32" s="3">
        <v>41693</v>
      </c>
      <c r="B32">
        <v>1702</v>
      </c>
      <c r="C32" s="1">
        <f t="shared" si="1"/>
        <v>383.06329999999997</v>
      </c>
      <c r="D32">
        <v>0.22720000000000001</v>
      </c>
      <c r="E32" s="14">
        <f t="shared" si="0"/>
        <v>1.0066459902525475</v>
      </c>
    </row>
    <row r="33" spans="1:13">
      <c r="A33" s="3">
        <v>41695</v>
      </c>
      <c r="B33">
        <v>1719</v>
      </c>
      <c r="C33" s="1">
        <f t="shared" si="1"/>
        <v>386.92569999999995</v>
      </c>
      <c r="D33">
        <v>0.22720000000000001</v>
      </c>
      <c r="E33" s="14">
        <f t="shared" si="0"/>
        <v>1.0066459902525475</v>
      </c>
    </row>
    <row r="34" spans="1:13">
      <c r="A34" s="3">
        <v>41699</v>
      </c>
      <c r="B34">
        <v>1737</v>
      </c>
      <c r="C34" s="1">
        <f t="shared" si="1"/>
        <v>391.01529999999997</v>
      </c>
      <c r="D34">
        <v>0.22720000000000001</v>
      </c>
      <c r="E34" s="14">
        <f t="shared" si="0"/>
        <v>1.0066459902525475</v>
      </c>
    </row>
    <row r="35" spans="1:13">
      <c r="A35" s="3">
        <v>41700</v>
      </c>
      <c r="B35">
        <v>1745</v>
      </c>
      <c r="C35" s="1">
        <f t="shared" si="1"/>
        <v>392.8329</v>
      </c>
      <c r="D35">
        <v>0.22720000000000001</v>
      </c>
      <c r="E35" s="14">
        <f t="shared" si="0"/>
        <v>1.0066459902525475</v>
      </c>
    </row>
    <row r="36" spans="1:13">
      <c r="A36" s="3">
        <v>41703</v>
      </c>
      <c r="B36">
        <v>1763</v>
      </c>
      <c r="C36" s="1">
        <f t="shared" si="1"/>
        <v>396.92250000000001</v>
      </c>
      <c r="D36">
        <v>0.22720000000000001</v>
      </c>
      <c r="E36" s="14">
        <f t="shared" si="0"/>
        <v>1.0066459902525475</v>
      </c>
    </row>
    <row r="37" spans="1:13">
      <c r="A37" s="3">
        <v>41705</v>
      </c>
      <c r="B37">
        <v>1773</v>
      </c>
      <c r="C37" s="1">
        <f t="shared" si="1"/>
        <v>399.19450000000001</v>
      </c>
      <c r="D37">
        <v>0.22720000000000001</v>
      </c>
      <c r="E37" s="14">
        <f t="shared" si="0"/>
        <v>1.0066459902525475</v>
      </c>
    </row>
    <row r="38" spans="1:13">
      <c r="A38" s="3">
        <v>41710</v>
      </c>
      <c r="B38">
        <v>1828</v>
      </c>
      <c r="C38" s="1">
        <f t="shared" si="1"/>
        <v>411.69049999999999</v>
      </c>
      <c r="D38">
        <v>0.22720000000000001</v>
      </c>
      <c r="E38" s="14">
        <f t="shared" si="0"/>
        <v>1.0066459902525475</v>
      </c>
    </row>
    <row r="39" spans="1:13">
      <c r="A39" s="3">
        <v>41718</v>
      </c>
      <c r="B39">
        <v>1867</v>
      </c>
      <c r="C39" s="1">
        <f t="shared" si="1"/>
        <v>420.55129999999997</v>
      </c>
      <c r="D39">
        <v>0.22720000000000001</v>
      </c>
      <c r="E39" s="14">
        <f t="shared" si="0"/>
        <v>1.0066459902525475</v>
      </c>
    </row>
    <row r="40" spans="1:13">
      <c r="A40" s="3">
        <v>41723</v>
      </c>
      <c r="B40">
        <v>1895</v>
      </c>
      <c r="C40" s="1">
        <f t="shared" si="1"/>
        <v>426.91289999999998</v>
      </c>
      <c r="D40">
        <v>0.22720000000000001</v>
      </c>
      <c r="E40" s="14">
        <f t="shared" si="0"/>
        <v>1.0066459902525475</v>
      </c>
    </row>
    <row r="41" spans="1:13">
      <c r="A41" s="3">
        <v>41725</v>
      </c>
      <c r="B41">
        <v>1911</v>
      </c>
      <c r="C41" s="1">
        <f t="shared" si="1"/>
        <v>430.54809999999998</v>
      </c>
      <c r="D41">
        <v>0.22720000000000001</v>
      </c>
      <c r="E41" s="14">
        <f t="shared" si="0"/>
        <v>1.0066459902525475</v>
      </c>
    </row>
    <row r="42" spans="1:13">
      <c r="A42" s="3">
        <v>41732</v>
      </c>
      <c r="B42">
        <v>1973</v>
      </c>
      <c r="C42" s="1">
        <f t="shared" si="1"/>
        <v>444.6345</v>
      </c>
      <c r="D42">
        <v>0.22720000000000001</v>
      </c>
      <c r="E42" s="14">
        <f t="shared" si="0"/>
        <v>1.0066459902525475</v>
      </c>
      <c r="G42" s="5"/>
      <c r="M42" s="5"/>
    </row>
    <row r="43" spans="1:13">
      <c r="A43" s="3">
        <v>41738</v>
      </c>
      <c r="B43">
        <v>2010</v>
      </c>
      <c r="C43" s="1">
        <f t="shared" si="1"/>
        <v>453.04090000000002</v>
      </c>
      <c r="D43">
        <v>0.22720000000000001</v>
      </c>
      <c r="E43" s="14">
        <f t="shared" si="0"/>
        <v>1.0066459902525475</v>
      </c>
    </row>
    <row r="44" spans="1:13">
      <c r="A44" s="3">
        <v>41748</v>
      </c>
      <c r="B44">
        <v>2083</v>
      </c>
      <c r="C44" s="1">
        <f t="shared" si="1"/>
        <v>469.62650000000002</v>
      </c>
      <c r="D44">
        <v>0.22720000000000001</v>
      </c>
      <c r="E44" s="14">
        <f t="shared" si="0"/>
        <v>1.0066459902525475</v>
      </c>
    </row>
    <row r="45" spans="1:13">
      <c r="A45" s="3">
        <v>41750</v>
      </c>
      <c r="B45">
        <v>2096</v>
      </c>
      <c r="C45" s="1">
        <f t="shared" si="1"/>
        <v>472.58010000000002</v>
      </c>
      <c r="D45">
        <v>0.22720000000000001</v>
      </c>
      <c r="E45" s="14">
        <f t="shared" si="0"/>
        <v>1.0066459902525475</v>
      </c>
    </row>
    <row r="46" spans="1:13">
      <c r="A46" s="3">
        <v>41760</v>
      </c>
      <c r="B46">
        <v>2169</v>
      </c>
      <c r="C46" s="1">
        <f t="shared" si="1"/>
        <v>489.16570000000002</v>
      </c>
      <c r="D46">
        <v>0.22720000000000001</v>
      </c>
      <c r="E46" s="14">
        <f t="shared" si="0"/>
        <v>1.0066459902525475</v>
      </c>
    </row>
    <row r="47" spans="1:13">
      <c r="A47" s="3">
        <v>41767</v>
      </c>
      <c r="B47">
        <v>2217</v>
      </c>
      <c r="C47" s="1">
        <f t="shared" si="1"/>
        <v>500.07130000000001</v>
      </c>
      <c r="D47">
        <v>0.22720000000000001</v>
      </c>
      <c r="E47" s="14">
        <f t="shared" si="0"/>
        <v>1.0066459902525475</v>
      </c>
    </row>
    <row r="48" spans="1:13">
      <c r="A48" s="3">
        <v>41773</v>
      </c>
      <c r="B48">
        <v>2237</v>
      </c>
      <c r="C48" s="1">
        <f t="shared" si="1"/>
        <v>504.61529999999999</v>
      </c>
      <c r="D48">
        <v>0.22720000000000001</v>
      </c>
      <c r="E48" s="14">
        <f t="shared" si="0"/>
        <v>1.0066459902525475</v>
      </c>
    </row>
    <row r="49" spans="1:5">
      <c r="A49" s="3">
        <v>41777</v>
      </c>
      <c r="B49">
        <v>2287</v>
      </c>
      <c r="C49" s="1">
        <f t="shared" si="1"/>
        <v>515.97529999999995</v>
      </c>
      <c r="D49">
        <v>0.22720000000000001</v>
      </c>
      <c r="E49" s="14">
        <f t="shared" si="0"/>
        <v>1.0066459902525475</v>
      </c>
    </row>
    <row r="50" spans="1:5">
      <c r="A50" s="3">
        <v>41782</v>
      </c>
      <c r="B50">
        <v>2326</v>
      </c>
      <c r="C50" s="1">
        <f t="shared" si="1"/>
        <v>524.83609999999999</v>
      </c>
      <c r="D50">
        <v>0.22720000000000001</v>
      </c>
      <c r="E50" s="14">
        <f t="shared" si="0"/>
        <v>1.0066459902525475</v>
      </c>
    </row>
    <row r="51" spans="1:5">
      <c r="A51" s="3">
        <v>41799</v>
      </c>
      <c r="B51">
        <v>2452</v>
      </c>
      <c r="C51" s="1">
        <f t="shared" si="1"/>
        <v>553.4633</v>
      </c>
      <c r="D51">
        <v>0.22720000000000001</v>
      </c>
      <c r="E51" s="14">
        <f t="shared" si="0"/>
        <v>1.0066459902525475</v>
      </c>
    </row>
    <row r="52" spans="1:5">
      <c r="A52" s="3">
        <v>41808</v>
      </c>
      <c r="B52">
        <v>2527</v>
      </c>
      <c r="C52" s="1">
        <f t="shared" si="1"/>
        <v>570.50329999999997</v>
      </c>
      <c r="D52">
        <v>0.22720000000000001</v>
      </c>
      <c r="E52" s="14">
        <f t="shared" si="0"/>
        <v>1.0066459902525475</v>
      </c>
    </row>
    <row r="53" spans="1:5">
      <c r="A53" s="3">
        <v>41815</v>
      </c>
      <c r="B53">
        <v>2585</v>
      </c>
      <c r="C53" s="1">
        <f t="shared" si="1"/>
        <v>583.68089999999995</v>
      </c>
      <c r="D53">
        <v>0.22720000000000001</v>
      </c>
      <c r="E53" s="14">
        <f t="shared" si="0"/>
        <v>1.0066459902525475</v>
      </c>
    </row>
    <row r="54" spans="1:5">
      <c r="A54" s="3">
        <v>41830</v>
      </c>
      <c r="B54">
        <v>2688</v>
      </c>
      <c r="C54" s="1">
        <f t="shared" si="1"/>
        <v>606.69110000000001</v>
      </c>
      <c r="D54">
        <v>0.22339999999999999</v>
      </c>
      <c r="E54" s="14">
        <f t="shared" si="0"/>
        <v>0.98980948161276017</v>
      </c>
    </row>
    <row r="55" spans="1:5">
      <c r="A55" s="3">
        <v>41842</v>
      </c>
      <c r="B55">
        <v>2779</v>
      </c>
      <c r="C55" s="1">
        <f t="shared" si="1"/>
        <v>627.02049999999997</v>
      </c>
      <c r="D55">
        <v>0.22339999999999999</v>
      </c>
      <c r="E55" s="14">
        <f t="shared" si="0"/>
        <v>0.98980948161276017</v>
      </c>
    </row>
    <row r="56" spans="1:5">
      <c r="A56" s="3">
        <v>41846</v>
      </c>
      <c r="B56">
        <v>2810</v>
      </c>
      <c r="C56" s="1">
        <f t="shared" si="1"/>
        <v>633.94589999999994</v>
      </c>
      <c r="D56">
        <v>0.22339999999999999</v>
      </c>
      <c r="E56" s="14">
        <f t="shared" si="0"/>
        <v>0.98980948161276017</v>
      </c>
    </row>
    <row r="57" spans="1:5">
      <c r="A57" s="3">
        <v>41849</v>
      </c>
      <c r="B57">
        <v>2835</v>
      </c>
      <c r="C57" s="1">
        <f t="shared" si="1"/>
        <v>639.53089999999997</v>
      </c>
      <c r="D57">
        <v>0.22339999999999999</v>
      </c>
      <c r="E57" s="14">
        <f t="shared" si="0"/>
        <v>0.98980948161276017</v>
      </c>
    </row>
    <row r="58" spans="1:5">
      <c r="A58" s="3">
        <v>41854</v>
      </c>
      <c r="B58">
        <v>2866</v>
      </c>
      <c r="C58" s="1">
        <f t="shared" si="1"/>
        <v>646.45629999999994</v>
      </c>
      <c r="D58">
        <v>0.22339999999999999</v>
      </c>
      <c r="E58" s="14">
        <f t="shared" si="0"/>
        <v>0.98980948161276017</v>
      </c>
    </row>
    <row r="59" spans="1:5">
      <c r="A59" s="3">
        <v>41882</v>
      </c>
      <c r="B59">
        <v>3055</v>
      </c>
      <c r="C59" s="1">
        <f t="shared" si="1"/>
        <v>688.67889999999989</v>
      </c>
      <c r="D59">
        <v>0.22339999999999999</v>
      </c>
      <c r="E59" s="14">
        <f t="shared" si="0"/>
        <v>0.98980948161276017</v>
      </c>
    </row>
    <row r="60" spans="1:5">
      <c r="A60" s="3">
        <v>41885</v>
      </c>
      <c r="B60">
        <v>3086</v>
      </c>
      <c r="C60" s="1">
        <f t="shared" si="1"/>
        <v>695.60429999999985</v>
      </c>
      <c r="D60">
        <v>0.22339999999999999</v>
      </c>
      <c r="E60" s="14">
        <f t="shared" si="0"/>
        <v>0.98980948161276017</v>
      </c>
    </row>
    <row r="61" spans="1:5">
      <c r="A61" s="3">
        <v>41887</v>
      </c>
      <c r="B61">
        <v>3100</v>
      </c>
      <c r="C61" s="1">
        <f t="shared" si="1"/>
        <v>698.73189999999988</v>
      </c>
      <c r="D61">
        <v>0.22339999999999999</v>
      </c>
      <c r="E61" s="14">
        <f t="shared" si="0"/>
        <v>0.98980948161276017</v>
      </c>
    </row>
    <row r="62" spans="1:5">
      <c r="A62" s="3">
        <v>41893</v>
      </c>
      <c r="B62">
        <v>3128</v>
      </c>
      <c r="C62" s="1">
        <f t="shared" si="1"/>
        <v>704.98709999999983</v>
      </c>
      <c r="D62">
        <v>0.22339999999999999</v>
      </c>
      <c r="E62" s="14">
        <f t="shared" si="0"/>
        <v>0.98980948161276017</v>
      </c>
    </row>
    <row r="63" spans="1:5">
      <c r="A63" s="3">
        <v>41896</v>
      </c>
      <c r="B63">
        <v>3155</v>
      </c>
      <c r="C63" s="1">
        <f t="shared" si="1"/>
        <v>711.0188999999998</v>
      </c>
      <c r="D63">
        <v>0.22339999999999999</v>
      </c>
      <c r="E63" s="14">
        <f t="shared" si="0"/>
        <v>0.98980948161276017</v>
      </c>
    </row>
    <row r="64" spans="1:5">
      <c r="A64" s="3">
        <v>41897</v>
      </c>
      <c r="B64">
        <v>3165</v>
      </c>
      <c r="C64" s="1">
        <f t="shared" si="1"/>
        <v>713.25289999999984</v>
      </c>
      <c r="D64">
        <v>0.22339999999999999</v>
      </c>
      <c r="E64" s="14">
        <f t="shared" si="0"/>
        <v>0.98980948161276017</v>
      </c>
    </row>
    <row r="65" spans="1:10">
      <c r="A65" s="3">
        <v>41901</v>
      </c>
      <c r="B65">
        <v>3191</v>
      </c>
      <c r="C65" s="1">
        <f t="shared" si="1"/>
        <v>719.06129999999985</v>
      </c>
      <c r="D65">
        <v>0.22339999999999999</v>
      </c>
      <c r="E65" s="14">
        <f t="shared" si="0"/>
        <v>0.98980948161276017</v>
      </c>
    </row>
    <row r="66" spans="1:10">
      <c r="A66" s="3">
        <v>41904</v>
      </c>
      <c r="B66">
        <v>3208</v>
      </c>
      <c r="C66" s="1">
        <f t="shared" si="1"/>
        <v>722.8590999999999</v>
      </c>
      <c r="D66">
        <v>0.22339999999999999</v>
      </c>
      <c r="E66" s="14">
        <f t="shared" si="0"/>
        <v>0.98980948161276017</v>
      </c>
    </row>
    <row r="67" spans="1:10">
      <c r="A67" s="3">
        <v>41957</v>
      </c>
      <c r="B67">
        <v>3385</v>
      </c>
      <c r="C67" s="1">
        <f t="shared" si="1"/>
        <v>762.40089999999987</v>
      </c>
      <c r="D67">
        <v>0.22339999999999999</v>
      </c>
      <c r="E67" s="14">
        <f t="shared" si="0"/>
        <v>0.98980948161276017</v>
      </c>
    </row>
    <row r="68" spans="1:10">
      <c r="A68" s="3">
        <v>41978</v>
      </c>
      <c r="B68">
        <v>3411</v>
      </c>
      <c r="C68" s="1">
        <f t="shared" si="1"/>
        <v>768.20929999999987</v>
      </c>
      <c r="D68">
        <v>0.22339999999999999</v>
      </c>
      <c r="E68" s="14">
        <f t="shared" ref="E68:E75" si="2">D68/$D$2</f>
        <v>0.98980948161276017</v>
      </c>
      <c r="J68" s="3"/>
    </row>
    <row r="69" spans="1:10">
      <c r="A69" s="3">
        <v>42011</v>
      </c>
      <c r="B69">
        <v>3441</v>
      </c>
      <c r="C69" s="1">
        <f t="shared" si="1"/>
        <v>774.77526499999988</v>
      </c>
      <c r="D69">
        <f>ZonPaneel_Steca1800!D16</f>
        <v>0.21886549999999999</v>
      </c>
      <c r="E69" s="14">
        <f t="shared" si="2"/>
        <v>0.96971865307930871</v>
      </c>
      <c r="J69" s="3"/>
    </row>
    <row r="70" spans="1:10">
      <c r="A70" s="3">
        <v>42033</v>
      </c>
      <c r="B70">
        <v>3462</v>
      </c>
      <c r="C70" s="1">
        <f t="shared" si="1"/>
        <v>779.37144049999984</v>
      </c>
      <c r="D70">
        <f>ZonPaneel_Steca1800!D17</f>
        <v>0.21886549999999999</v>
      </c>
      <c r="E70" s="14">
        <f t="shared" si="2"/>
        <v>0.96971865307930871</v>
      </c>
    </row>
    <row r="71" spans="1:10">
      <c r="A71" s="3">
        <v>42058</v>
      </c>
      <c r="B71">
        <v>3541</v>
      </c>
      <c r="C71" s="1">
        <f t="shared" si="1"/>
        <v>796.66181499999982</v>
      </c>
      <c r="D71">
        <f>ZonPaneel_Steca1800!D18</f>
        <v>0.21886549999999999</v>
      </c>
      <c r="E71" s="14">
        <f t="shared" si="2"/>
        <v>0.96971865307930871</v>
      </c>
    </row>
    <row r="72" spans="1:10">
      <c r="A72" s="3">
        <v>42062</v>
      </c>
      <c r="B72">
        <v>3556</v>
      </c>
      <c r="C72" s="1">
        <f t="shared" si="1"/>
        <v>799.94479749999982</v>
      </c>
      <c r="D72">
        <f>ZonPaneel_Steca1800!D19</f>
        <v>0.21886549999999999</v>
      </c>
      <c r="E72" s="14">
        <f t="shared" si="2"/>
        <v>0.96971865307930871</v>
      </c>
    </row>
    <row r="73" spans="1:10">
      <c r="A73" s="3">
        <v>42064</v>
      </c>
      <c r="B73">
        <v>3568</v>
      </c>
      <c r="C73" s="1">
        <f t="shared" si="1"/>
        <v>802.57118349999985</v>
      </c>
      <c r="D73">
        <f>ZonPaneel_Steca1800!D20</f>
        <v>0.21886549999999999</v>
      </c>
      <c r="E73" s="14">
        <f t="shared" si="2"/>
        <v>0.96971865307930871</v>
      </c>
    </row>
    <row r="74" spans="1:10">
      <c r="A74" s="3">
        <v>42078</v>
      </c>
      <c r="B74">
        <v>3646</v>
      </c>
      <c r="C74" s="1">
        <f t="shared" si="1"/>
        <v>819.64269249999984</v>
      </c>
      <c r="D74">
        <f>ZonPaneel_Steca1800!D21</f>
        <v>0.21886549999999999</v>
      </c>
      <c r="E74" s="14">
        <f t="shared" si="2"/>
        <v>0.96971865307930871</v>
      </c>
    </row>
    <row r="75" spans="1:10">
      <c r="A75" s="3">
        <v>42099</v>
      </c>
      <c r="B75">
        <v>3752</v>
      </c>
      <c r="C75" s="1">
        <f t="shared" si="1"/>
        <v>842.84243549999985</v>
      </c>
      <c r="D75">
        <f>ZonPaneel_Steca1800!D22</f>
        <v>0.21886549999999999</v>
      </c>
      <c r="E75" s="14">
        <f t="shared" si="2"/>
        <v>0.96971865307930871</v>
      </c>
    </row>
    <row r="76" spans="1:10">
      <c r="A76" s="3">
        <v>42109</v>
      </c>
      <c r="B76">
        <v>3843</v>
      </c>
      <c r="C76" s="1">
        <f t="shared" si="1"/>
        <v>862.75919599999986</v>
      </c>
      <c r="D76">
        <f>ZonPaneel_Steca1800!D23</f>
        <v>0.21886549999999999</v>
      </c>
      <c r="E76" s="14">
        <f t="shared" ref="E76:E78" si="3">D76/$D$2</f>
        <v>0.96971865307930871</v>
      </c>
    </row>
    <row r="77" spans="1:10">
      <c r="A77" s="3">
        <v>42122</v>
      </c>
      <c r="B77">
        <v>3964</v>
      </c>
      <c r="C77" s="1">
        <f t="shared" si="1"/>
        <v>889.24192149999988</v>
      </c>
      <c r="D77">
        <f>ZonPaneel_Steca1800!D24</f>
        <v>0.21886549999999999</v>
      </c>
      <c r="E77" s="14">
        <f t="shared" si="3"/>
        <v>0.96971865307930871</v>
      </c>
    </row>
    <row r="78" spans="1:10">
      <c r="A78" s="3">
        <v>42125</v>
      </c>
      <c r="B78">
        <v>3988</v>
      </c>
      <c r="C78" s="1">
        <f t="shared" si="1"/>
        <v>894.49469349999993</v>
      </c>
      <c r="D78">
        <f>ZonPaneel_Steca1800!D25</f>
        <v>0.21886549999999999</v>
      </c>
      <c r="E78" s="14">
        <f t="shared" si="3"/>
        <v>0.96971865307930871</v>
      </c>
    </row>
    <row r="79" spans="1:10">
      <c r="A79" s="3">
        <v>42140</v>
      </c>
      <c r="B79">
        <v>4126</v>
      </c>
      <c r="C79" s="1">
        <f t="shared" ref="C79:C86" si="4">(B79-B78)*D79+C78</f>
        <v>924.69813249999993</v>
      </c>
      <c r="D79">
        <f>ZonPaneel_Steca1800!D26</f>
        <v>0.21886549999999999</v>
      </c>
      <c r="E79" s="14">
        <f t="shared" ref="E79:E82" si="5">D79/$D$2</f>
        <v>0.96971865307930871</v>
      </c>
    </row>
    <row r="80" spans="1:10">
      <c r="A80" s="3">
        <v>42156</v>
      </c>
      <c r="B80">
        <v>4243</v>
      </c>
      <c r="C80" s="1">
        <f t="shared" si="4"/>
        <v>950.30539599999997</v>
      </c>
      <c r="D80">
        <f>ZonPaneel_Steca1800!D27</f>
        <v>0.21886549999999999</v>
      </c>
      <c r="E80" s="14">
        <f t="shared" si="5"/>
        <v>0.96971865307930871</v>
      </c>
    </row>
    <row r="81" spans="1:5">
      <c r="A81" s="3">
        <v>42169</v>
      </c>
      <c r="B81">
        <v>4363</v>
      </c>
      <c r="C81" s="1">
        <f t="shared" si="4"/>
        <v>976.569256</v>
      </c>
      <c r="D81">
        <f>ZonPaneel_Steca1800!D28</f>
        <v>0.21886549999999999</v>
      </c>
      <c r="E81" s="14">
        <f t="shared" si="5"/>
        <v>0.96971865307930871</v>
      </c>
    </row>
    <row r="82" spans="1:5">
      <c r="A82" s="3">
        <v>42193</v>
      </c>
      <c r="B82">
        <v>4573</v>
      </c>
      <c r="C82" s="1">
        <f t="shared" si="4"/>
        <v>1021.8311229999999</v>
      </c>
      <c r="D82">
        <f>ZonPaneel_Steca1800!D29</f>
        <v>0.21553269999999997</v>
      </c>
      <c r="E82" s="14">
        <f t="shared" si="5"/>
        <v>0.95495214887018143</v>
      </c>
    </row>
    <row r="83" spans="1:5">
      <c r="A83" s="3">
        <v>42203</v>
      </c>
      <c r="B83">
        <v>4650</v>
      </c>
      <c r="C83" s="1">
        <f t="shared" si="4"/>
        <v>1038.4271409</v>
      </c>
      <c r="D83">
        <f>ZonPaneel_Steca1800!D30</f>
        <v>0.21553269999999997</v>
      </c>
      <c r="E83" s="14">
        <f t="shared" ref="E83:E84" si="6">D83/$D$2</f>
        <v>0.95495214887018143</v>
      </c>
    </row>
    <row r="84" spans="1:5">
      <c r="A84" s="3">
        <v>42219</v>
      </c>
      <c r="B84">
        <v>4766</v>
      </c>
      <c r="C84" s="1">
        <f t="shared" si="4"/>
        <v>1063.4289341000001</v>
      </c>
      <c r="D84">
        <f>ZonPaneel_Steca1800!D31</f>
        <v>0.21553269999999997</v>
      </c>
      <c r="E84" s="14">
        <f t="shared" si="6"/>
        <v>0.95495214887018143</v>
      </c>
    </row>
    <row r="85" spans="1:5">
      <c r="A85" s="3">
        <v>42232</v>
      </c>
      <c r="B85">
        <v>4864</v>
      </c>
      <c r="C85" s="1">
        <f t="shared" si="4"/>
        <v>1084.5511387000001</v>
      </c>
      <c r="D85">
        <f>ZonPaneel_Steca1800!D32</f>
        <v>0.21553269999999997</v>
      </c>
      <c r="E85" s="14">
        <f t="shared" ref="E85" si="7">D85/$D$2</f>
        <v>0.95495214887018143</v>
      </c>
    </row>
    <row r="86" spans="1:5">
      <c r="A86" s="3">
        <v>42245</v>
      </c>
      <c r="B86">
        <v>4939</v>
      </c>
      <c r="C86" s="1">
        <f t="shared" si="4"/>
        <v>1100.7160912000002</v>
      </c>
      <c r="D86">
        <f>ZonPaneel_Steca1800!D33</f>
        <v>0.21553269999999997</v>
      </c>
      <c r="E86" s="14">
        <f t="shared" ref="E86" si="8">D86/$D$2</f>
        <v>0.95495214887018143</v>
      </c>
    </row>
    <row r="87" spans="1:5">
      <c r="A87" s="3">
        <v>42284</v>
      </c>
      <c r="B87">
        <v>5186</v>
      </c>
      <c r="C87" s="1">
        <f t="shared" ref="C87" si="9">(B87-B86)*D87+C86</f>
        <v>1153.9526681000002</v>
      </c>
      <c r="D87">
        <f>ZonPaneel_Steca1800!D34</f>
        <v>0.21553269999999997</v>
      </c>
      <c r="E87" s="14">
        <f t="shared" ref="E87" si="10">D87/$D$2</f>
        <v>0.95495214887018143</v>
      </c>
    </row>
    <row r="88" spans="1:5">
      <c r="A88" s="3">
        <v>42294</v>
      </c>
      <c r="B88">
        <v>5217</v>
      </c>
      <c r="C88" s="1">
        <f t="shared" ref="C88" si="11">(B88-B87)*D88+C87</f>
        <v>1160.6341818000003</v>
      </c>
      <c r="D88">
        <f>ZonPaneel_Steca1800!D35</f>
        <v>0.21553269999999997</v>
      </c>
      <c r="E88" s="14">
        <f t="shared" ref="E88" si="12">D88/$D$2</f>
        <v>0.95495214887018143</v>
      </c>
    </row>
    <row r="89" spans="1:5">
      <c r="A89" s="3">
        <v>42309</v>
      </c>
      <c r="B89">
        <v>5261</v>
      </c>
      <c r="C89" s="1">
        <f t="shared" ref="C89" si="13">(B89-B88)*D89+C88</f>
        <v>1170.1176206000002</v>
      </c>
      <c r="D89">
        <f>ZonPaneel_Steca1800!D36</f>
        <v>0.21553269999999997</v>
      </c>
      <c r="E89" s="14">
        <f t="shared" ref="E89" si="14">D89/$D$2</f>
        <v>0.95495214887018143</v>
      </c>
    </row>
    <row r="90" spans="1:5">
      <c r="A90" s="3">
        <v>42322</v>
      </c>
      <c r="B90">
        <v>5283</v>
      </c>
      <c r="C90" s="1">
        <f t="shared" ref="C90" si="15">(B90-B89)*D90+C89</f>
        <v>1174.8593400000002</v>
      </c>
      <c r="D90">
        <f>ZonPaneel_Steca1800!D37</f>
        <v>0.21553269999999997</v>
      </c>
      <c r="E90" s="14">
        <f t="shared" ref="E90" si="16">D90/$D$2</f>
        <v>0.95495214887018143</v>
      </c>
    </row>
    <row r="91" spans="1:5">
      <c r="A91" s="3">
        <v>42358</v>
      </c>
      <c r="B91">
        <v>5330</v>
      </c>
      <c r="C91" s="1">
        <f t="shared" ref="C91:C92" si="17">(B91-B90)*D91+C90</f>
        <v>1184.9893769000003</v>
      </c>
      <c r="D91">
        <f>ZonPaneel_Steca1800!D38</f>
        <v>0.21553269999999997</v>
      </c>
      <c r="E91" s="14">
        <f t="shared" ref="E91:E92" si="18">D91/$D$2</f>
        <v>0.95495214887018143</v>
      </c>
    </row>
    <row r="92" spans="1:5">
      <c r="A92" s="3">
        <v>42371</v>
      </c>
      <c r="B92">
        <v>5348</v>
      </c>
      <c r="C92" s="1">
        <f t="shared" si="17"/>
        <v>1188.3931751000002</v>
      </c>
      <c r="D92">
        <f>ZonPaneel_Steca1800!D39</f>
        <v>0.18909989999999999</v>
      </c>
      <c r="E92" s="14">
        <f t="shared" si="18"/>
        <v>0.83783739477182095</v>
      </c>
    </row>
    <row r="93" spans="1:5">
      <c r="A93" s="3">
        <v>42386</v>
      </c>
      <c r="B93">
        <v>5366</v>
      </c>
      <c r="C93" s="1">
        <f t="shared" ref="C93:C94" si="19">(B93-B92)*D93+C92</f>
        <v>1191.7969733000002</v>
      </c>
      <c r="D93">
        <f>ZonPaneel_Steca1800!D40</f>
        <v>0.18909989999999999</v>
      </c>
      <c r="E93" s="14">
        <f t="shared" ref="E93" si="20">D93/$D$2</f>
        <v>0.83783739477182095</v>
      </c>
    </row>
    <row r="94" spans="1:5">
      <c r="A94" s="3">
        <v>42403</v>
      </c>
      <c r="B94">
        <v>5392</v>
      </c>
      <c r="C94" s="1">
        <f t="shared" si="19"/>
        <v>1196.7135707000002</v>
      </c>
      <c r="D94">
        <f>ZonPaneel_Steca1800!D41</f>
        <v>0.18909989999999999</v>
      </c>
      <c r="E94" s="14">
        <f t="shared" ref="E94" si="21">D94/$D$2</f>
        <v>0.83783739477182095</v>
      </c>
    </row>
    <row r="95" spans="1:5">
      <c r="A95" s="3">
        <v>42422</v>
      </c>
      <c r="B95">
        <v>5451</v>
      </c>
      <c r="C95" s="1">
        <f t="shared" ref="C95" si="22">(B95-B94)*D95+C94</f>
        <v>1207.8704648000003</v>
      </c>
      <c r="D95">
        <f>ZonPaneel_Steca1800!D42</f>
        <v>0.18909989999999999</v>
      </c>
      <c r="E95" s="14">
        <f t="shared" ref="E95" si="23">D95/$D$2</f>
        <v>0.83783739477182095</v>
      </c>
    </row>
    <row r="96" spans="1:5">
      <c r="A96" s="3">
        <f>ZonPaneel_Steca1800!A43</f>
        <v>42430</v>
      </c>
      <c r="B96">
        <v>5497</v>
      </c>
      <c r="C96" s="1">
        <f t="shared" ref="C96" si="24">(B96-B95)*D96+C95</f>
        <v>1216.5690602000002</v>
      </c>
      <c r="D96">
        <f>ZonPaneel_Steca1800!D43</f>
        <v>0.18909989999999999</v>
      </c>
      <c r="E96" s="14">
        <f t="shared" ref="E96" si="25">D96/$D$2</f>
        <v>0.83783739477182095</v>
      </c>
    </row>
    <row r="97" spans="1:5">
      <c r="A97" s="3">
        <f>ZonPaneel_Steca1800!A44</f>
        <v>42444</v>
      </c>
      <c r="B97">
        <v>5576</v>
      </c>
      <c r="C97" s="1">
        <f t="shared" ref="C97" si="26">(B97-B96)*D97+C96</f>
        <v>1231.5079523000002</v>
      </c>
      <c r="D97">
        <f>ZonPaneel_Steca1800!D44</f>
        <v>0.18909989999999999</v>
      </c>
      <c r="E97" s="14">
        <f t="shared" ref="E97" si="27">D97/$D$2</f>
        <v>0.83783739477182095</v>
      </c>
    </row>
    <row r="98" spans="1:5">
      <c r="A98" s="3">
        <f>ZonPaneel_Steca1800!A45</f>
        <v>42461</v>
      </c>
      <c r="B98">
        <v>5661</v>
      </c>
      <c r="C98" s="1">
        <f t="shared" ref="C98" si="28">(B98-B97)*D98+C97</f>
        <v>1247.5814438000002</v>
      </c>
      <c r="D98">
        <f>ZonPaneel_Steca1800!D45</f>
        <v>0.18909989999999999</v>
      </c>
      <c r="E98" s="14">
        <f t="shared" ref="E98" si="29">D98/$D$2</f>
        <v>0.83783739477182095</v>
      </c>
    </row>
    <row r="99" spans="1:5">
      <c r="A99" s="3">
        <f>ZonPaneel_Steca1800!A46</f>
        <v>42478</v>
      </c>
      <c r="B99">
        <v>5779</v>
      </c>
      <c r="C99" s="1">
        <f t="shared" ref="C99" si="30">(B99-B98)*D99+C98</f>
        <v>1269.8952320000003</v>
      </c>
      <c r="D99">
        <f>ZonPaneel_Steca1800!D46</f>
        <v>0.18909989999999999</v>
      </c>
      <c r="E99" s="14">
        <f t="shared" ref="E99" si="31">D99/$D$2</f>
        <v>0.83783739477182095</v>
      </c>
    </row>
    <row r="100" spans="1:5">
      <c r="A100" s="3">
        <f>ZonPaneel_Steca1800!A47</f>
        <v>42493</v>
      </c>
      <c r="B100">
        <v>5882</v>
      </c>
      <c r="C100" s="1">
        <f t="shared" ref="C100" si="32">(B100-B99)*D100+C99</f>
        <v>1289.3725217000003</v>
      </c>
      <c r="D100">
        <f>ZonPaneel_Steca1800!D47</f>
        <v>0.18909989999999999</v>
      </c>
      <c r="E100" s="14">
        <f t="shared" ref="E100" si="33">D100/$D$2</f>
        <v>0.83783739477182095</v>
      </c>
    </row>
    <row r="101" spans="1:5">
      <c r="A101" s="3">
        <f>ZonPaneel_Steca1800!A48</f>
        <v>42506</v>
      </c>
      <c r="B101">
        <v>6020</v>
      </c>
      <c r="C101" s="1">
        <f t="shared" ref="C101" si="34">(B101-B100)*D101+C100</f>
        <v>1315.4683079000004</v>
      </c>
      <c r="D101">
        <f>ZonPaneel_Steca1800!D48</f>
        <v>0.18909989999999999</v>
      </c>
      <c r="E101" s="14">
        <f t="shared" ref="E101" si="35">D101/$D$2</f>
        <v>0.83783739477182095</v>
      </c>
    </row>
    <row r="102" spans="1:5">
      <c r="A102" s="3">
        <f>ZonPaneel_Steca1800!A49</f>
        <v>42522</v>
      </c>
      <c r="B102">
        <v>6100</v>
      </c>
      <c r="C102" s="1">
        <f t="shared" ref="C102" si="36">(B102-B101)*D102+C101</f>
        <v>1330.5962999000003</v>
      </c>
      <c r="D102">
        <f>ZonPaneel_Steca1800!D49</f>
        <v>0.18909989999999999</v>
      </c>
      <c r="E102" s="14">
        <f t="shared" ref="E102" si="37">D102/$D$2</f>
        <v>0.83783739477182095</v>
      </c>
    </row>
    <row r="103" spans="1:5">
      <c r="A103" s="3">
        <f>ZonPaneel_Steca1800!A50</f>
        <v>42552</v>
      </c>
      <c r="B103">
        <v>6305</v>
      </c>
      <c r="C103" s="1">
        <f t="shared" ref="C103" si="38">(B103-B102)*D103+C102</f>
        <v>1368.7075219000003</v>
      </c>
      <c r="D103">
        <f>ZonPaneel_Steca1800!D50</f>
        <v>0.18590839999999997</v>
      </c>
      <c r="E103" s="14">
        <f t="shared" ref="E103" si="39">D103/$D$2</f>
        <v>0.82369694284448369</v>
      </c>
    </row>
    <row r="104" spans="1:5">
      <c r="A104" s="3">
        <f>ZonPaneel_Steca1800!A51</f>
        <v>42585</v>
      </c>
      <c r="B104">
        <v>6550</v>
      </c>
      <c r="C104" s="1">
        <f t="shared" ref="C104" si="40">(B104-B103)*D104+C103</f>
        <v>1414.2550799000003</v>
      </c>
      <c r="D104">
        <f>ZonPaneel_Steca1800!D51</f>
        <v>0.18590839999999997</v>
      </c>
      <c r="E104" s="14">
        <f t="shared" ref="E104" si="41">D104/$D$2</f>
        <v>0.82369694284448369</v>
      </c>
    </row>
    <row r="105" spans="1:5">
      <c r="A105" s="3">
        <f>ZonPaneel_Steca1800!A52</f>
        <v>42619</v>
      </c>
      <c r="B105">
        <v>6811</v>
      </c>
      <c r="C105" s="1">
        <f t="shared" ref="C105" si="42">(B105-B104)*D105+C104</f>
        <v>1462.7771723000003</v>
      </c>
      <c r="D105">
        <f>ZonPaneel_Steca1800!D52</f>
        <v>0.18590839999999997</v>
      </c>
      <c r="E105" s="14">
        <f t="shared" ref="E105" si="43">D105/$D$2</f>
        <v>0.82369694284448369</v>
      </c>
    </row>
    <row r="106" spans="1:5">
      <c r="A106" s="3">
        <f>ZonPaneel_Steca1800!A53</f>
        <v>42644</v>
      </c>
      <c r="B106">
        <v>7007</v>
      </c>
      <c r="C106" s="1">
        <f t="shared" ref="C106" si="44">(B106-B105)*D106+C105</f>
        <v>1499.2152187000004</v>
      </c>
      <c r="D106">
        <f>ZonPaneel_Steca1800!D53</f>
        <v>0.18590839999999997</v>
      </c>
      <c r="E106" s="14">
        <f t="shared" ref="E106" si="45">D106/$D$2</f>
        <v>0.82369694284448369</v>
      </c>
    </row>
    <row r="107" spans="1:5">
      <c r="A107" s="3">
        <f>ZonPaneel_Steca1800!A54</f>
        <v>42675</v>
      </c>
      <c r="B107">
        <v>7115</v>
      </c>
      <c r="C107" s="1">
        <f t="shared" ref="C107" si="46">(B107-B106)*D107+C106</f>
        <v>1519.2933259000004</v>
      </c>
      <c r="D107">
        <f>ZonPaneel_Steca1800!D54</f>
        <v>0.18590839999999997</v>
      </c>
      <c r="E107" s="14">
        <f t="shared" ref="E107" si="47">D107/$D$2</f>
        <v>0.82369694284448369</v>
      </c>
    </row>
    <row r="108" spans="1:5">
      <c r="A108" s="3">
        <f>ZonPaneel_Steca1800!A55</f>
        <v>42746</v>
      </c>
      <c r="B108">
        <v>7203</v>
      </c>
      <c r="C108" s="1">
        <f t="shared" ref="C108" si="48">(B108-B107)*D108+C107</f>
        <v>1535.4669691000004</v>
      </c>
      <c r="D108">
        <f>ZonPaneel_Steca1800!D55</f>
        <v>0.18379139999999999</v>
      </c>
      <c r="E108" s="14">
        <f t="shared" ref="E108" si="49">D108/$D$2</f>
        <v>0.81431723526805488</v>
      </c>
    </row>
    <row r="109" spans="1:5">
      <c r="A109" s="3">
        <f>ZonPaneel_Steca1800!A56</f>
        <v>42767</v>
      </c>
      <c r="B109">
        <v>7240</v>
      </c>
      <c r="C109" s="1">
        <f t="shared" ref="C109" si="50">(B109-B108)*D109+C108</f>
        <v>1542.2672509000004</v>
      </c>
      <c r="D109">
        <f>ZonPaneel_Steca1800!D56</f>
        <v>0.18379139999999999</v>
      </c>
      <c r="E109" s="14">
        <f t="shared" ref="E109" si="51">D109/$D$2</f>
        <v>0.81431723526805488</v>
      </c>
    </row>
    <row r="110" spans="1:5">
      <c r="A110" s="3">
        <f>ZonPaneel_Steca1800!A57</f>
        <v>42795</v>
      </c>
      <c r="B110">
        <v>7301</v>
      </c>
      <c r="C110" s="1">
        <f t="shared" ref="C110" si="52">(B110-B109)*D110+C109</f>
        <v>1553.4785263000003</v>
      </c>
      <c r="D110">
        <f>ZonPaneel_Steca1800!D57</f>
        <v>0.18379139999999999</v>
      </c>
      <c r="E110" s="14">
        <f t="shared" ref="E110" si="53">D110/$D$2</f>
        <v>0.81431723526805488</v>
      </c>
    </row>
    <row r="111" spans="1:5">
      <c r="A111" s="3">
        <f>ZonPaneel_Steca1800!A58</f>
        <v>42826</v>
      </c>
      <c r="B111">
        <v>7487</v>
      </c>
      <c r="C111" s="1">
        <f t="shared" ref="C111" si="54">(B111-B110)*D111+C110</f>
        <v>1587.6637267000003</v>
      </c>
      <c r="D111">
        <f>ZonPaneel_Steca1800!D58</f>
        <v>0.18379139999999999</v>
      </c>
      <c r="E111" s="14">
        <f t="shared" ref="E111" si="55">D111/$D$2</f>
        <v>0.81431723526805488</v>
      </c>
    </row>
    <row r="112" spans="1:5">
      <c r="A112" s="3">
        <f>ZonPaneel_Steca1800!A59</f>
        <v>42887</v>
      </c>
      <c r="B112">
        <v>7930</v>
      </c>
      <c r="C112" s="1">
        <f t="shared" ref="C112" si="56">(B112-B111)*D112+C111</f>
        <v>1669.0833169000002</v>
      </c>
      <c r="D112">
        <f>ZonPaneel_Steca1800!D59</f>
        <v>0.18379139999999999</v>
      </c>
      <c r="E112" s="14">
        <f t="shared" ref="E112" si="57">D112/$D$2</f>
        <v>0.81431723526805488</v>
      </c>
    </row>
  </sheetData>
  <hyperlinks>
    <hyperlink ref="J1" r:id="rId1"/>
  </hyperlinks>
  <pageMargins left="0.75" right="0.75" top="1" bottom="1" header="0.5" footer="0.5"/>
  <pageSetup paperSize="9" orientation="portrait" horizontalDpi="4294967292" verticalDpi="4294967292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selection activeCell="C57" sqref="C57:D58"/>
    </sheetView>
  </sheetViews>
  <sheetFormatPr baseColWidth="10" defaultColWidth="11.5" defaultRowHeight="14" x14ac:dyDescent="0"/>
  <cols>
    <col min="3" max="3" width="11.5" style="1"/>
  </cols>
  <sheetData>
    <row r="1" spans="1:15">
      <c r="A1" t="s">
        <v>0</v>
      </c>
      <c r="B1" t="s">
        <v>1</v>
      </c>
      <c r="C1" s="1" t="s">
        <v>2</v>
      </c>
      <c r="D1" t="s">
        <v>3</v>
      </c>
      <c r="F1" s="15" t="s">
        <v>38</v>
      </c>
      <c r="I1" t="s">
        <v>4</v>
      </c>
      <c r="J1" s="2" t="s">
        <v>5</v>
      </c>
    </row>
    <row r="2" spans="1:15">
      <c r="A2" s="3">
        <v>41851</v>
      </c>
      <c r="B2">
        <v>0</v>
      </c>
      <c r="C2" s="1">
        <v>0</v>
      </c>
      <c r="E2" s="15" t="s">
        <v>70</v>
      </c>
      <c r="F2" s="16">
        <f>(B30-B3)/(0.001*M2)</f>
        <v>825.29411764705878</v>
      </c>
      <c r="I2" t="s">
        <v>6</v>
      </c>
      <c r="J2">
        <f>3950*2/10</f>
        <v>790</v>
      </c>
      <c r="L2" t="s">
        <v>7</v>
      </c>
      <c r="M2">
        <f>2*255</f>
        <v>510</v>
      </c>
      <c r="N2" t="s">
        <v>8</v>
      </c>
    </row>
    <row r="3" spans="1:15">
      <c r="A3" s="3">
        <v>41854</v>
      </c>
      <c r="B3">
        <v>3.3</v>
      </c>
      <c r="C3" s="1">
        <f t="shared" ref="C3:C24" si="0">(B3-B2)*D3+C2</f>
        <v>0.73721999999999988</v>
      </c>
      <c r="D3">
        <v>0.22339999999999999</v>
      </c>
      <c r="E3" s="15" t="s">
        <v>73</v>
      </c>
      <c r="F3" s="16">
        <f>(B42-B19)/(0.001*M2)</f>
        <v>845.09803921568619</v>
      </c>
      <c r="I3" t="s">
        <v>9</v>
      </c>
      <c r="J3">
        <v>0</v>
      </c>
    </row>
    <row r="4" spans="1:15">
      <c r="A4" s="3">
        <v>41881</v>
      </c>
      <c r="B4">
        <v>45.6</v>
      </c>
      <c r="C4" s="1">
        <f t="shared" si="0"/>
        <v>10.187040000000001</v>
      </c>
      <c r="D4">
        <v>0.22339999999999999</v>
      </c>
      <c r="E4" s="15" t="s">
        <v>75</v>
      </c>
      <c r="F4" s="16">
        <f>(B50-B30)/(0.001*M2)</f>
        <v>786.47058823529403</v>
      </c>
      <c r="I4" t="s">
        <v>10</v>
      </c>
      <c r="J4">
        <f>6*10</f>
        <v>60</v>
      </c>
    </row>
    <row r="5" spans="1:15">
      <c r="A5" s="3">
        <v>41883</v>
      </c>
      <c r="B5">
        <v>49</v>
      </c>
      <c r="C5" s="1">
        <f t="shared" si="0"/>
        <v>10.946600000000002</v>
      </c>
      <c r="D5">
        <v>0.22339999999999999</v>
      </c>
      <c r="E5" s="15" t="s">
        <v>76</v>
      </c>
      <c r="F5" s="16">
        <f>(B56-B42)/(0.001*M2)</f>
        <v>786.47058823529414</v>
      </c>
      <c r="I5" t="s">
        <v>11</v>
      </c>
      <c r="J5">
        <f>J2-J3+J4</f>
        <v>850</v>
      </c>
      <c r="K5" s="4">
        <f>J5/M2</f>
        <v>1.6666666666666667</v>
      </c>
      <c r="L5" s="5" t="s">
        <v>12</v>
      </c>
    </row>
    <row r="6" spans="1:15">
      <c r="A6" s="3">
        <v>41885</v>
      </c>
      <c r="B6">
        <v>53.4</v>
      </c>
      <c r="C6" s="1">
        <f t="shared" si="0"/>
        <v>11.929560000000002</v>
      </c>
      <c r="D6">
        <v>0.22339999999999999</v>
      </c>
    </row>
    <row r="7" spans="1:15">
      <c r="A7" s="3">
        <v>41887</v>
      </c>
      <c r="B7">
        <v>56.5</v>
      </c>
      <c r="C7" s="1">
        <f t="shared" si="0"/>
        <v>12.622100000000003</v>
      </c>
      <c r="D7">
        <v>0.22339999999999999</v>
      </c>
      <c r="J7" s="6">
        <f>MAX(C:C)/J5</f>
        <v>0.26810478651764702</v>
      </c>
      <c r="K7" t="s">
        <v>13</v>
      </c>
      <c r="M7" t="s">
        <v>14</v>
      </c>
      <c r="N7" s="7">
        <f>1/J7*(MAX(A:A)-MIN(A:A))+MIN(A:A)</f>
        <v>45715.160776300836</v>
      </c>
    </row>
    <row r="8" spans="1:15">
      <c r="A8" s="3">
        <v>41890</v>
      </c>
      <c r="B8">
        <v>60.2</v>
      </c>
      <c r="C8" s="1">
        <f t="shared" si="0"/>
        <v>13.448680000000003</v>
      </c>
      <c r="D8">
        <v>0.22339999999999999</v>
      </c>
      <c r="M8" t="s">
        <v>15</v>
      </c>
      <c r="N8" s="8">
        <f>(N7-A2)/365</f>
        <v>10.586741852879003</v>
      </c>
      <c r="O8" s="9" t="s">
        <v>16</v>
      </c>
    </row>
    <row r="9" spans="1:15">
      <c r="A9" s="3">
        <v>41893</v>
      </c>
      <c r="B9">
        <v>62.7</v>
      </c>
      <c r="C9" s="1">
        <f t="shared" si="0"/>
        <v>14.007180000000004</v>
      </c>
      <c r="D9">
        <v>0.22339999999999999</v>
      </c>
    </row>
    <row r="10" spans="1:15">
      <c r="A10" s="3">
        <v>41897</v>
      </c>
      <c r="B10">
        <v>70.2</v>
      </c>
      <c r="C10" s="1">
        <f t="shared" si="0"/>
        <v>15.682680000000003</v>
      </c>
      <c r="D10">
        <v>0.22339999999999999</v>
      </c>
    </row>
    <row r="11" spans="1:15">
      <c r="A11" s="3">
        <v>41904</v>
      </c>
      <c r="B11">
        <v>79.400000000000006</v>
      </c>
      <c r="C11" s="1">
        <f t="shared" si="0"/>
        <v>17.737960000000005</v>
      </c>
      <c r="D11">
        <v>0.22339999999999999</v>
      </c>
    </row>
    <row r="12" spans="1:15">
      <c r="A12" s="3">
        <v>41940</v>
      </c>
      <c r="B12">
        <v>106.3</v>
      </c>
      <c r="C12" s="1">
        <f t="shared" si="0"/>
        <v>23.747420000000002</v>
      </c>
      <c r="D12">
        <v>0.22339999999999999</v>
      </c>
    </row>
    <row r="13" spans="1:15">
      <c r="A13" s="3">
        <v>41957</v>
      </c>
      <c r="B13">
        <v>115.9</v>
      </c>
      <c r="C13" s="1">
        <f t="shared" si="0"/>
        <v>25.892060000000004</v>
      </c>
      <c r="D13">
        <v>0.22339999999999999</v>
      </c>
    </row>
    <row r="14" spans="1:15">
      <c r="A14" s="3">
        <v>41978</v>
      </c>
      <c r="B14">
        <v>122.6</v>
      </c>
      <c r="C14" s="1">
        <f t="shared" si="0"/>
        <v>27.388840000000002</v>
      </c>
      <c r="D14">
        <v>0.22339999999999999</v>
      </c>
    </row>
    <row r="15" spans="1:15">
      <c r="A15" s="3">
        <v>42011</v>
      </c>
      <c r="B15">
        <v>130.30000000000001</v>
      </c>
      <c r="C15" s="1">
        <f t="shared" si="0"/>
        <v>29.109020000000005</v>
      </c>
      <c r="D15">
        <v>0.22339999999999999</v>
      </c>
    </row>
    <row r="16" spans="1:15">
      <c r="A16" s="3">
        <v>42033</v>
      </c>
      <c r="B16">
        <v>135.30000000000001</v>
      </c>
      <c r="C16" s="1">
        <f t="shared" si="0"/>
        <v>30.203347500000003</v>
      </c>
      <c r="D16">
        <f>ZonPaneel_Steca1800!D17</f>
        <v>0.21886549999999999</v>
      </c>
    </row>
    <row r="17" spans="1:4">
      <c r="A17" s="3">
        <v>42058</v>
      </c>
      <c r="B17">
        <v>150.69999999999999</v>
      </c>
      <c r="C17" s="1">
        <f t="shared" si="0"/>
        <v>33.573876200000001</v>
      </c>
      <c r="D17">
        <f>ZonPaneel_Steca1800!D18</f>
        <v>0.21886549999999999</v>
      </c>
    </row>
    <row r="18" spans="1:4">
      <c r="A18" s="3">
        <v>42062</v>
      </c>
      <c r="B18">
        <v>153.80000000000001</v>
      </c>
      <c r="C18" s="1">
        <f t="shared" si="0"/>
        <v>34.252359250000005</v>
      </c>
      <c r="D18">
        <f>ZonPaneel_Steca1800!D19</f>
        <v>0.21886549999999999</v>
      </c>
    </row>
    <row r="19" spans="1:4">
      <c r="A19" s="3">
        <v>42064</v>
      </c>
      <c r="B19">
        <v>156.30000000000001</v>
      </c>
      <c r="C19" s="1">
        <f t="shared" si="0"/>
        <v>34.799523000000008</v>
      </c>
      <c r="D19">
        <f>ZonPaneel_Steca1800!D20</f>
        <v>0.21886549999999999</v>
      </c>
    </row>
    <row r="20" spans="1:4">
      <c r="A20" s="3">
        <v>42078</v>
      </c>
      <c r="B20">
        <v>172.9</v>
      </c>
      <c r="C20" s="1">
        <f t="shared" si="0"/>
        <v>38.432690300000004</v>
      </c>
      <c r="D20">
        <f>ZonPaneel_Steca1800!D21</f>
        <v>0.21886549999999999</v>
      </c>
    </row>
    <row r="21" spans="1:4">
      <c r="A21" s="3">
        <v>42099</v>
      </c>
      <c r="B21">
        <v>196.3</v>
      </c>
      <c r="C21" s="1">
        <f t="shared" si="0"/>
        <v>43.554143000000003</v>
      </c>
      <c r="D21">
        <f>ZonPaneel_Steca1800!D22</f>
        <v>0.21886549999999999</v>
      </c>
    </row>
    <row r="22" spans="1:4">
      <c r="A22" s="3">
        <v>42109</v>
      </c>
      <c r="B22">
        <v>216</v>
      </c>
      <c r="C22" s="1">
        <f t="shared" si="0"/>
        <v>47.865793350000004</v>
      </c>
      <c r="D22">
        <f>ZonPaneel_Steca1800!D23</f>
        <v>0.21886549999999999</v>
      </c>
    </row>
    <row r="23" spans="1:4">
      <c r="A23" s="3">
        <v>42122</v>
      </c>
      <c r="B23">
        <v>241.7</v>
      </c>
      <c r="C23" s="1">
        <f t="shared" si="0"/>
        <v>53.490636700000003</v>
      </c>
      <c r="D23">
        <f>ZonPaneel_Steca1800!D24</f>
        <v>0.21886549999999999</v>
      </c>
    </row>
    <row r="24" spans="1:4">
      <c r="A24" s="3">
        <v>42125</v>
      </c>
      <c r="B24">
        <v>247</v>
      </c>
      <c r="C24" s="1">
        <f t="shared" si="0"/>
        <v>54.650623850000002</v>
      </c>
      <c r="D24">
        <f>ZonPaneel_Steca1800!D25</f>
        <v>0.21886549999999999</v>
      </c>
    </row>
    <row r="25" spans="1:4">
      <c r="A25" s="3">
        <v>42140</v>
      </c>
      <c r="B25">
        <v>277.2</v>
      </c>
      <c r="C25" s="1">
        <f t="shared" ref="C25:C32" si="1">(B25-B24)*D25+C24</f>
        <v>61.260361949999997</v>
      </c>
      <c r="D25">
        <f>ZonPaneel_Steca1800!D26</f>
        <v>0.21886549999999999</v>
      </c>
    </row>
    <row r="26" spans="1:4">
      <c r="A26" s="3">
        <v>42156</v>
      </c>
      <c r="B26">
        <v>303.8</v>
      </c>
      <c r="C26" s="1">
        <f t="shared" si="1"/>
        <v>67.082184249999997</v>
      </c>
      <c r="D26">
        <f>ZonPaneel_Steca1800!D27</f>
        <v>0.21886549999999999</v>
      </c>
    </row>
    <row r="27" spans="1:4">
      <c r="A27" s="3">
        <v>42169</v>
      </c>
      <c r="B27">
        <v>332.7</v>
      </c>
      <c r="C27" s="1">
        <f t="shared" si="1"/>
        <v>73.407397199999991</v>
      </c>
      <c r="D27">
        <f>ZonPaneel_Steca1800!D28</f>
        <v>0.21886549999999999</v>
      </c>
    </row>
    <row r="28" spans="1:4">
      <c r="A28" s="3">
        <v>42193</v>
      </c>
      <c r="B28">
        <v>379.7</v>
      </c>
      <c r="C28" s="1">
        <f t="shared" si="1"/>
        <v>83.537434099999984</v>
      </c>
      <c r="D28">
        <f>ZonPaneel_Steca1800!D29</f>
        <v>0.21553269999999997</v>
      </c>
    </row>
    <row r="29" spans="1:4">
      <c r="A29" s="3">
        <v>42203</v>
      </c>
      <c r="B29">
        <v>396.3</v>
      </c>
      <c r="C29" s="1">
        <f t="shared" si="1"/>
        <v>87.115276919999985</v>
      </c>
      <c r="D29">
        <f>ZonPaneel_Steca1800!D30</f>
        <v>0.21553269999999997</v>
      </c>
    </row>
    <row r="30" spans="1:4">
      <c r="A30" s="3">
        <v>42219</v>
      </c>
      <c r="B30">
        <v>424.2</v>
      </c>
      <c r="C30" s="1">
        <f t="shared" si="1"/>
        <v>93.128639249999978</v>
      </c>
      <c r="D30">
        <f>ZonPaneel_Steca1800!D31</f>
        <v>0.21553269999999997</v>
      </c>
    </row>
    <row r="31" spans="1:4">
      <c r="A31" s="3">
        <v>42232</v>
      </c>
      <c r="B31">
        <v>445.1</v>
      </c>
      <c r="C31" s="1">
        <f t="shared" si="1"/>
        <v>97.63327267999999</v>
      </c>
      <c r="D31">
        <f>ZonPaneel_Steca1800!D32</f>
        <v>0.21553269999999997</v>
      </c>
    </row>
    <row r="32" spans="1:4">
      <c r="A32" s="3">
        <v>42245</v>
      </c>
      <c r="B32">
        <v>464</v>
      </c>
      <c r="C32" s="1">
        <f t="shared" si="1"/>
        <v>101.70684070999998</v>
      </c>
      <c r="D32">
        <f>ZonPaneel_Steca1800!D33</f>
        <v>0.21553269999999997</v>
      </c>
    </row>
    <row r="33" spans="1:13">
      <c r="A33" s="3">
        <v>42284</v>
      </c>
      <c r="B33">
        <v>516.79999999999995</v>
      </c>
      <c r="C33" s="1">
        <f t="shared" ref="C33" si="2">(B33-B32)*D33+C32</f>
        <v>113.08696726999997</v>
      </c>
      <c r="D33">
        <f>ZonPaneel_Steca1800!D34</f>
        <v>0.21553269999999997</v>
      </c>
    </row>
    <row r="34" spans="1:13">
      <c r="A34" s="3">
        <v>42294</v>
      </c>
      <c r="B34">
        <v>523</v>
      </c>
      <c r="C34" s="1">
        <f t="shared" ref="C34" si="3">(B34-B33)*D34+C33</f>
        <v>114.42327000999998</v>
      </c>
      <c r="D34">
        <f>ZonPaneel_Steca1800!D35</f>
        <v>0.21553269999999997</v>
      </c>
    </row>
    <row r="35" spans="1:13">
      <c r="A35" s="3">
        <v>42309</v>
      </c>
      <c r="B35">
        <v>532.4</v>
      </c>
      <c r="C35" s="1">
        <f t="shared" ref="C35" si="4">(B35-B34)*D35+C34</f>
        <v>116.44927738999998</v>
      </c>
      <c r="D35">
        <f>ZonPaneel_Steca1800!D36</f>
        <v>0.21553269999999997</v>
      </c>
    </row>
    <row r="36" spans="1:13">
      <c r="A36" s="3">
        <v>42322</v>
      </c>
      <c r="B36">
        <v>537.20000000000005</v>
      </c>
      <c r="C36" s="1">
        <f t="shared" ref="C36" si="5">(B36-B35)*D36+C35</f>
        <v>117.48383435</v>
      </c>
      <c r="D36">
        <f>ZonPaneel_Steca1800!D37</f>
        <v>0.21553269999999997</v>
      </c>
    </row>
    <row r="37" spans="1:13">
      <c r="A37" s="3">
        <v>42358</v>
      </c>
      <c r="B37">
        <v>549.5</v>
      </c>
      <c r="C37" s="1">
        <f t="shared" ref="C37" si="6">(B37-B36)*D37+C36</f>
        <v>120.13488655999998</v>
      </c>
      <c r="D37">
        <f>ZonPaneel_Steca1800!D38</f>
        <v>0.21553269999999997</v>
      </c>
    </row>
    <row r="38" spans="1:13">
      <c r="A38" s="3">
        <v>42371</v>
      </c>
      <c r="B38">
        <v>554.29999999999995</v>
      </c>
      <c r="C38" s="1">
        <f t="shared" ref="C38" si="7">(B38-B37)*D38+C37</f>
        <v>121.04256607999997</v>
      </c>
      <c r="D38">
        <f>ZonPaneel_Steca1800!D39</f>
        <v>0.18909989999999999</v>
      </c>
    </row>
    <row r="39" spans="1:13">
      <c r="A39" s="3">
        <v>42386</v>
      </c>
      <c r="B39">
        <v>559.1</v>
      </c>
      <c r="C39" s="1">
        <f t="shared" ref="C39:C40" si="8">(B39-B38)*D39+C38</f>
        <v>121.95024559999999</v>
      </c>
      <c r="D39">
        <f>ZonPaneel_Steca1800!D40</f>
        <v>0.18909989999999999</v>
      </c>
    </row>
    <row r="40" spans="1:13">
      <c r="A40" s="3">
        <v>42403</v>
      </c>
      <c r="B40">
        <v>565.6</v>
      </c>
      <c r="C40" s="1">
        <f t="shared" si="8"/>
        <v>123.17939494999999</v>
      </c>
      <c r="D40">
        <f>ZonPaneel_Steca1800!D41</f>
        <v>0.18909989999999999</v>
      </c>
    </row>
    <row r="41" spans="1:13">
      <c r="A41" s="3">
        <v>42422</v>
      </c>
      <c r="B41">
        <v>577.79999999999995</v>
      </c>
      <c r="C41" s="1">
        <f t="shared" ref="C41" si="9">(B41-B40)*D41+C40</f>
        <v>125.48641372999998</v>
      </c>
      <c r="D41">
        <f>ZonPaneel_Steca1800!D42</f>
        <v>0.18909989999999999</v>
      </c>
    </row>
    <row r="42" spans="1:13">
      <c r="A42" s="3">
        <f>ZonPaneel_Steca1800!A43</f>
        <v>42430</v>
      </c>
      <c r="B42">
        <v>587.29999999999995</v>
      </c>
      <c r="C42" s="1">
        <f t="shared" ref="C42" si="10">(B42-B41)*D42+C41</f>
        <v>127.28286277999999</v>
      </c>
      <c r="D42">
        <f>ZonPaneel_Steca1800!D43</f>
        <v>0.18909989999999999</v>
      </c>
      <c r="G42" s="5"/>
      <c r="M42" s="5"/>
    </row>
    <row r="43" spans="1:13">
      <c r="A43" s="3">
        <f>ZonPaneel_Steca1800!A44</f>
        <v>42444</v>
      </c>
      <c r="B43">
        <v>603.70000000000005</v>
      </c>
      <c r="C43" s="1">
        <f t="shared" ref="C43" si="11">(B43-B42)*D43+C42</f>
        <v>130.38410114000001</v>
      </c>
      <c r="D43">
        <f>ZonPaneel_Steca1800!D44</f>
        <v>0.18909989999999999</v>
      </c>
    </row>
    <row r="44" spans="1:13">
      <c r="A44" s="3">
        <f>ZonPaneel_Steca1800!A45</f>
        <v>42461</v>
      </c>
      <c r="B44">
        <v>622.9</v>
      </c>
      <c r="C44" s="1">
        <f t="shared" ref="C44" si="12">(B44-B43)*D44+C43</f>
        <v>134.01481921999999</v>
      </c>
      <c r="D44">
        <f>ZonPaneel_Steca1800!D45</f>
        <v>0.18909989999999999</v>
      </c>
    </row>
    <row r="45" spans="1:13">
      <c r="A45" s="3">
        <f>ZonPaneel_Steca1800!A46</f>
        <v>42478</v>
      </c>
      <c r="B45">
        <v>650.9</v>
      </c>
      <c r="C45" s="1">
        <f t="shared" ref="C45" si="13">(B45-B44)*D45+C44</f>
        <v>139.30961642</v>
      </c>
      <c r="D45">
        <f>ZonPaneel_Steca1800!D46</f>
        <v>0.18909989999999999</v>
      </c>
    </row>
    <row r="46" spans="1:13">
      <c r="A46" s="3">
        <f>ZonPaneel_Steca1800!A47</f>
        <v>42493</v>
      </c>
      <c r="B46">
        <v>676.4</v>
      </c>
      <c r="C46" s="1">
        <f t="shared" ref="C46" si="14">(B46-B45)*D46+C45</f>
        <v>144.13166387000001</v>
      </c>
      <c r="D46">
        <f>ZonPaneel_Steca1800!D47</f>
        <v>0.18909989999999999</v>
      </c>
    </row>
    <row r="47" spans="1:13">
      <c r="A47" s="3">
        <f>ZonPaneel_Steca1800!A48</f>
        <v>42506</v>
      </c>
      <c r="B47">
        <v>706.4</v>
      </c>
      <c r="C47" s="1">
        <f t="shared" ref="C47" si="15">(B47-B46)*D47+C46</f>
        <v>149.80466087000002</v>
      </c>
      <c r="D47">
        <f>ZonPaneel_Steca1800!D48</f>
        <v>0.18909989999999999</v>
      </c>
    </row>
    <row r="48" spans="1:13">
      <c r="A48" s="3">
        <f>ZonPaneel_Steca1800!A49</f>
        <v>42522</v>
      </c>
      <c r="B48">
        <v>724.9</v>
      </c>
      <c r="C48" s="1">
        <f t="shared" ref="C48" si="16">(B48-B47)*D48+C47</f>
        <v>153.30300902000002</v>
      </c>
      <c r="D48">
        <f>ZonPaneel_Steca1800!D49</f>
        <v>0.18909989999999999</v>
      </c>
    </row>
    <row r="49" spans="1:4">
      <c r="A49" s="3">
        <f>ZonPaneel_Steca1800!A50</f>
        <v>42552</v>
      </c>
      <c r="B49">
        <v>771.5</v>
      </c>
      <c r="C49" s="1">
        <f t="shared" ref="C49" si="17">(B49-B48)*D49+C48</f>
        <v>161.96634046000003</v>
      </c>
      <c r="D49">
        <f>ZonPaneel_Steca1800!D50</f>
        <v>0.18590839999999997</v>
      </c>
    </row>
    <row r="50" spans="1:4">
      <c r="A50" s="3">
        <f>ZonPaneel_Steca1800!A51</f>
        <v>42585</v>
      </c>
      <c r="B50">
        <v>825.3</v>
      </c>
      <c r="C50" s="1">
        <f t="shared" ref="C50" si="18">(B50-B49)*D50+C49</f>
        <v>171.96821238000001</v>
      </c>
      <c r="D50">
        <f>ZonPaneel_Steca1800!D51</f>
        <v>0.18590839999999997</v>
      </c>
    </row>
    <row r="51" spans="1:4">
      <c r="A51" s="3">
        <f>ZonPaneel_Steca1800!A52</f>
        <v>42619</v>
      </c>
      <c r="B51">
        <v>881.5</v>
      </c>
      <c r="C51" s="1">
        <f t="shared" ref="C51" si="19">(B51-B50)*D51+C50</f>
        <v>182.41626446000001</v>
      </c>
      <c r="D51">
        <f>ZonPaneel_Steca1800!D52</f>
        <v>0.18590839999999997</v>
      </c>
    </row>
    <row r="52" spans="1:4">
      <c r="A52" s="3">
        <f>ZonPaneel_Steca1800!A53</f>
        <v>42644</v>
      </c>
      <c r="B52">
        <v>922.1</v>
      </c>
      <c r="C52" s="1">
        <f t="shared" ref="C52" si="20">(B52-B51)*D52+C51</f>
        <v>189.9641455</v>
      </c>
      <c r="D52">
        <f>ZonPaneel_Steca1800!D53</f>
        <v>0.18590839999999997</v>
      </c>
    </row>
    <row r="53" spans="1:4">
      <c r="A53" s="3">
        <f>ZonPaneel_Steca1800!A54</f>
        <v>42675</v>
      </c>
      <c r="B53">
        <v>943.6</v>
      </c>
      <c r="C53" s="1">
        <f t="shared" ref="C53" si="21">(B53-B52)*D53+C52</f>
        <v>193.96117609999999</v>
      </c>
      <c r="D53">
        <f>ZonPaneel_Steca1800!D54</f>
        <v>0.18590839999999997</v>
      </c>
    </row>
    <row r="54" spans="1:4">
      <c r="A54" s="3">
        <f>ZonPaneel_Steca1800!A55</f>
        <v>42746</v>
      </c>
      <c r="B54">
        <v>966.2</v>
      </c>
      <c r="C54" s="1">
        <f t="shared" ref="C54" si="22">(B54-B53)*D54+C53</f>
        <v>198.11486173999998</v>
      </c>
      <c r="D54">
        <f>ZonPaneel_Steca1800!D55</f>
        <v>0.18379139999999999</v>
      </c>
    </row>
    <row r="55" spans="1:4">
      <c r="A55" s="3">
        <f>ZonPaneel_Steca1800!A56</f>
        <v>42767</v>
      </c>
      <c r="B55">
        <v>975.3</v>
      </c>
      <c r="C55" s="1">
        <f t="shared" ref="C55" si="23">(B55-B54)*D55+C54</f>
        <v>199.78736347999995</v>
      </c>
      <c r="D55">
        <f>ZonPaneel_Steca1800!D56</f>
        <v>0.18379139999999999</v>
      </c>
    </row>
    <row r="56" spans="1:4">
      <c r="A56" s="3">
        <f>ZonPaneel_Steca1800!A57</f>
        <v>42795</v>
      </c>
      <c r="B56">
        <v>988.4</v>
      </c>
      <c r="C56" s="1">
        <f t="shared" ref="C56" si="24">(B56-B55)*D56+C55</f>
        <v>202.19503081999997</v>
      </c>
      <c r="D56">
        <f>ZonPaneel_Steca1800!D57</f>
        <v>0.18379139999999999</v>
      </c>
    </row>
    <row r="57" spans="1:4">
      <c r="A57" s="3">
        <f>ZonPaneel_Steca1800!A58</f>
        <v>42826</v>
      </c>
      <c r="B57">
        <v>1029</v>
      </c>
      <c r="C57" s="1">
        <f t="shared" ref="C57" si="25">(B57-B56)*D57+C56</f>
        <v>209.65696165999998</v>
      </c>
      <c r="D57">
        <f>ZonPaneel_Steca1800!D58</f>
        <v>0.18379139999999999</v>
      </c>
    </row>
    <row r="58" spans="1:4">
      <c r="A58" s="3">
        <f>ZonPaneel_Steca1800!A59</f>
        <v>42887</v>
      </c>
      <c r="B58">
        <v>1128.2</v>
      </c>
      <c r="C58" s="1">
        <f t="shared" ref="C58" si="26">(B58-B57)*D58+C57</f>
        <v>227.88906853999998</v>
      </c>
      <c r="D58">
        <f>ZonPaneel_Steca1800!D59</f>
        <v>0.18379139999999999</v>
      </c>
    </row>
  </sheetData>
  <hyperlinks>
    <hyperlink ref="J1" r:id="rId1"/>
  </hyperlinks>
  <pageMargins left="0.75" right="0.75" top="1" bottom="1" header="0.5" footer="0.5"/>
  <pageSetup paperSize="9"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9"/>
  <sheetViews>
    <sheetView workbookViewId="0">
      <selection activeCell="C58" sqref="C58:D59"/>
    </sheetView>
  </sheetViews>
  <sheetFormatPr baseColWidth="10" defaultColWidth="11.5" defaultRowHeight="14" x14ac:dyDescent="0"/>
  <cols>
    <col min="3" max="3" width="11.5" style="1"/>
  </cols>
  <sheetData>
    <row r="1" spans="1:15">
      <c r="A1" t="s">
        <v>0</v>
      </c>
      <c r="B1" t="s">
        <v>1</v>
      </c>
      <c r="C1" s="1" t="s">
        <v>2</v>
      </c>
      <c r="D1" t="s">
        <v>3</v>
      </c>
      <c r="F1" t="s">
        <v>57</v>
      </c>
      <c r="G1">
        <f>5*14</f>
        <v>70</v>
      </c>
      <c r="H1" s="14">
        <f>G1/SUM(G1:G2)</f>
        <v>0.41666666666666669</v>
      </c>
      <c r="I1" t="s">
        <v>4</v>
      </c>
      <c r="J1" s="2" t="s">
        <v>5</v>
      </c>
    </row>
    <row r="2" spans="1:15">
      <c r="A2" s="3">
        <v>41853</v>
      </c>
      <c r="B2">
        <v>0</v>
      </c>
      <c r="C2" s="1">
        <v>0</v>
      </c>
      <c r="F2" t="s">
        <v>58</v>
      </c>
      <c r="G2">
        <f>7*24-G1</f>
        <v>98</v>
      </c>
      <c r="H2" s="14">
        <f>G2/SUM(G1:G2)</f>
        <v>0.58333333333333337</v>
      </c>
      <c r="I2" t="s">
        <v>6</v>
      </c>
      <c r="J2">
        <f>3950*8/10</f>
        <v>3160</v>
      </c>
      <c r="L2" t="s">
        <v>7</v>
      </c>
      <c r="M2">
        <f>8*255</f>
        <v>2040</v>
      </c>
      <c r="N2" t="s">
        <v>8</v>
      </c>
    </row>
    <row r="3" spans="1:15">
      <c r="A3" s="3">
        <v>41854</v>
      </c>
      <c r="B3">
        <v>0.6</v>
      </c>
      <c r="C3" s="1">
        <f t="shared" ref="C3:C30" si="0">(B3-B2)*D3+C2</f>
        <v>0.13403999999999999</v>
      </c>
      <c r="D3">
        <v>0.22339999999999999</v>
      </c>
      <c r="E3" s="5"/>
      <c r="F3" s="15" t="s">
        <v>38</v>
      </c>
      <c r="I3" t="s">
        <v>9</v>
      </c>
      <c r="J3">
        <v>0</v>
      </c>
    </row>
    <row r="4" spans="1:15">
      <c r="A4" s="3">
        <v>41882</v>
      </c>
      <c r="B4">
        <v>204</v>
      </c>
      <c r="C4" s="1">
        <f t="shared" si="0"/>
        <v>45.573599999999999</v>
      </c>
      <c r="D4">
        <v>0.22339999999999999</v>
      </c>
      <c r="E4" s="15" t="s">
        <v>70</v>
      </c>
      <c r="F4" s="16">
        <f>(B31-B3)/(0.001*M2)</f>
        <v>967.35294117647061</v>
      </c>
      <c r="I4" t="s">
        <v>10</v>
      </c>
      <c r="J4">
        <f>12*10</f>
        <v>120</v>
      </c>
    </row>
    <row r="5" spans="1:15">
      <c r="A5" s="3">
        <v>41883</v>
      </c>
      <c r="B5">
        <v>215</v>
      </c>
      <c r="C5" s="1">
        <f t="shared" si="0"/>
        <v>48.030999999999999</v>
      </c>
      <c r="D5">
        <v>0.22339999999999999</v>
      </c>
      <c r="E5" s="15" t="s">
        <v>73</v>
      </c>
      <c r="F5" s="16">
        <f>(B43-B20)/(0.001*M2)</f>
        <v>948.13725490196043</v>
      </c>
      <c r="I5" t="s">
        <v>11</v>
      </c>
      <c r="J5">
        <f>J2-J3+J4</f>
        <v>3280</v>
      </c>
      <c r="K5" s="4">
        <f>J5/M2</f>
        <v>1.607843137254902</v>
      </c>
      <c r="L5" s="5" t="s">
        <v>12</v>
      </c>
    </row>
    <row r="6" spans="1:15">
      <c r="A6" s="3">
        <v>41884</v>
      </c>
      <c r="B6">
        <v>225</v>
      </c>
      <c r="C6" s="1">
        <f t="shared" si="0"/>
        <v>50.265000000000001</v>
      </c>
      <c r="D6">
        <v>0.22339999999999999</v>
      </c>
      <c r="E6" s="15" t="s">
        <v>75</v>
      </c>
      <c r="F6" s="16">
        <f>(B51-B31)/(0.001*M2)</f>
        <v>869.21568627450949</v>
      </c>
    </row>
    <row r="7" spans="1:15">
      <c r="A7" s="3">
        <v>41885</v>
      </c>
      <c r="B7">
        <v>236</v>
      </c>
      <c r="C7" s="1">
        <f t="shared" si="0"/>
        <v>52.7224</v>
      </c>
      <c r="D7">
        <v>0.22339999999999999</v>
      </c>
      <c r="E7" s="15" t="s">
        <v>76</v>
      </c>
      <c r="F7" s="16">
        <f>(B57-B43)/(0.001*M2)</f>
        <v>908.33333333333314</v>
      </c>
      <c r="J7" s="6">
        <f>MAX(C:C)/J5</f>
        <v>0.31608511203658524</v>
      </c>
      <c r="K7" t="s">
        <v>13</v>
      </c>
      <c r="M7" t="s">
        <v>14</v>
      </c>
      <c r="N7" s="7">
        <f>1/J7*(MAX(A:A)-MIN(A:A))+MIN(A:A)</f>
        <v>45124.270808478701</v>
      </c>
    </row>
    <row r="8" spans="1:15">
      <c r="A8" s="3">
        <v>41887</v>
      </c>
      <c r="B8">
        <v>252</v>
      </c>
      <c r="C8" s="1">
        <f t="shared" si="0"/>
        <v>56.296799999999998</v>
      </c>
      <c r="D8">
        <v>0.22339999999999999</v>
      </c>
      <c r="M8" t="s">
        <v>15</v>
      </c>
      <c r="N8" s="8">
        <f>(N7-A2)/365</f>
        <v>8.9623857766539743</v>
      </c>
      <c r="O8" s="9" t="s">
        <v>16</v>
      </c>
    </row>
    <row r="9" spans="1:15">
      <c r="A9" s="3">
        <v>41890</v>
      </c>
      <c r="B9">
        <v>271</v>
      </c>
      <c r="C9" s="1">
        <f t="shared" si="0"/>
        <v>60.541399999999996</v>
      </c>
      <c r="D9">
        <v>0.22339999999999999</v>
      </c>
    </row>
    <row r="10" spans="1:15">
      <c r="A10" s="3">
        <v>41893</v>
      </c>
      <c r="B10">
        <v>281</v>
      </c>
      <c r="C10" s="1">
        <f t="shared" si="0"/>
        <v>62.775399999999998</v>
      </c>
      <c r="D10">
        <v>0.22339999999999999</v>
      </c>
    </row>
    <row r="11" spans="1:15">
      <c r="A11" s="3">
        <v>41897</v>
      </c>
      <c r="B11">
        <v>320</v>
      </c>
      <c r="C11" s="1">
        <f t="shared" si="0"/>
        <v>71.488</v>
      </c>
      <c r="D11">
        <v>0.22339999999999999</v>
      </c>
    </row>
    <row r="12" spans="1:15">
      <c r="A12" s="3">
        <v>41904</v>
      </c>
      <c r="B12">
        <v>365</v>
      </c>
      <c r="C12" s="1">
        <f t="shared" si="0"/>
        <v>81.540999999999997</v>
      </c>
      <c r="D12">
        <v>0.22339999999999999</v>
      </c>
    </row>
    <row r="13" spans="1:15">
      <c r="A13" s="3">
        <v>41940</v>
      </c>
      <c r="B13">
        <v>482</v>
      </c>
      <c r="C13" s="1">
        <f t="shared" si="0"/>
        <v>107.6788</v>
      </c>
      <c r="D13">
        <v>0.22339999999999999</v>
      </c>
    </row>
    <row r="14" spans="1:15">
      <c r="A14" s="3">
        <v>41957</v>
      </c>
      <c r="B14">
        <v>519</v>
      </c>
      <c r="C14" s="1">
        <f t="shared" si="0"/>
        <v>115.94459999999999</v>
      </c>
      <c r="D14">
        <v>0.22339999999999999</v>
      </c>
    </row>
    <row r="15" spans="1:15">
      <c r="A15" s="3">
        <v>41978</v>
      </c>
      <c r="B15">
        <v>543</v>
      </c>
      <c r="C15" s="1">
        <f t="shared" si="0"/>
        <v>121.30619999999999</v>
      </c>
      <c r="D15">
        <v>0.22339999999999999</v>
      </c>
    </row>
    <row r="16" spans="1:15">
      <c r="A16" s="3">
        <v>42011</v>
      </c>
      <c r="B16">
        <v>571</v>
      </c>
      <c r="C16" s="1">
        <f t="shared" si="0"/>
        <v>127.434434</v>
      </c>
      <c r="D16" s="13">
        <f>0.417*0.2314+0.583*0.2099</f>
        <v>0.21886549999999999</v>
      </c>
    </row>
    <row r="17" spans="1:4">
      <c r="A17" s="3">
        <v>42033</v>
      </c>
      <c r="B17">
        <v>591</v>
      </c>
      <c r="C17" s="1">
        <f t="shared" si="0"/>
        <v>131.811744</v>
      </c>
      <c r="D17" s="13">
        <f>0.417*0.2314+0.583*0.2099</f>
        <v>0.21886549999999999</v>
      </c>
    </row>
    <row r="18" spans="1:4">
      <c r="A18" s="3">
        <v>42058</v>
      </c>
      <c r="B18">
        <v>655</v>
      </c>
      <c r="C18" s="1">
        <f t="shared" si="0"/>
        <v>145.81913600000001</v>
      </c>
      <c r="D18" s="13">
        <f t="shared" ref="D18:D28" si="1">0.417*0.2314+0.583*0.2099</f>
        <v>0.21886549999999999</v>
      </c>
    </row>
    <row r="19" spans="1:4">
      <c r="A19" s="3">
        <v>42062</v>
      </c>
      <c r="B19">
        <v>670</v>
      </c>
      <c r="C19" s="1">
        <f t="shared" si="0"/>
        <v>149.10211850000002</v>
      </c>
      <c r="D19" s="13">
        <f t="shared" si="1"/>
        <v>0.21886549999999999</v>
      </c>
    </row>
    <row r="20" spans="1:4">
      <c r="A20" s="3">
        <v>42064</v>
      </c>
      <c r="B20">
        <v>681</v>
      </c>
      <c r="C20" s="1">
        <f t="shared" si="0"/>
        <v>151.50963900000002</v>
      </c>
      <c r="D20" s="13">
        <f t="shared" si="1"/>
        <v>0.21886549999999999</v>
      </c>
    </row>
    <row r="21" spans="1:4">
      <c r="A21" s="3">
        <v>42078</v>
      </c>
      <c r="B21">
        <v>760</v>
      </c>
      <c r="C21" s="1">
        <f t="shared" si="0"/>
        <v>168.80001350000003</v>
      </c>
      <c r="D21" s="13">
        <f t="shared" si="1"/>
        <v>0.21886549999999999</v>
      </c>
    </row>
    <row r="22" spans="1:4">
      <c r="A22" s="3">
        <v>42099</v>
      </c>
      <c r="B22">
        <v>873</v>
      </c>
      <c r="C22" s="1">
        <f t="shared" si="0"/>
        <v>193.53181500000002</v>
      </c>
      <c r="D22" s="13">
        <f t="shared" si="1"/>
        <v>0.21886549999999999</v>
      </c>
    </row>
    <row r="23" spans="1:4">
      <c r="A23" s="3">
        <v>42109</v>
      </c>
      <c r="B23">
        <v>972</v>
      </c>
      <c r="C23" s="1">
        <f t="shared" si="0"/>
        <v>215.19949950000003</v>
      </c>
      <c r="D23" s="13">
        <f t="shared" si="1"/>
        <v>0.21886549999999999</v>
      </c>
    </row>
    <row r="24" spans="1:4">
      <c r="A24" s="3">
        <v>42122</v>
      </c>
      <c r="B24">
        <v>1102</v>
      </c>
      <c r="C24" s="1">
        <f t="shared" si="0"/>
        <v>243.65201450000004</v>
      </c>
      <c r="D24" s="13">
        <f t="shared" si="1"/>
        <v>0.21886549999999999</v>
      </c>
    </row>
    <row r="25" spans="1:4">
      <c r="A25" s="3">
        <v>42125</v>
      </c>
      <c r="B25">
        <v>1128</v>
      </c>
      <c r="C25" s="1">
        <f t="shared" si="0"/>
        <v>249.34251750000004</v>
      </c>
      <c r="D25" s="13">
        <f t="shared" si="1"/>
        <v>0.21886549999999999</v>
      </c>
    </row>
    <row r="26" spans="1:4">
      <c r="A26" s="3">
        <v>42140</v>
      </c>
      <c r="B26">
        <v>1274</v>
      </c>
      <c r="C26" s="1">
        <f t="shared" si="0"/>
        <v>281.29688050000004</v>
      </c>
      <c r="D26" s="13">
        <f t="shared" si="1"/>
        <v>0.21886549999999999</v>
      </c>
    </row>
    <row r="27" spans="1:4">
      <c r="A27" s="3">
        <v>42156</v>
      </c>
      <c r="B27">
        <v>1396</v>
      </c>
      <c r="C27" s="1">
        <f t="shared" si="0"/>
        <v>307.99847150000005</v>
      </c>
      <c r="D27" s="13">
        <f t="shared" si="1"/>
        <v>0.21886549999999999</v>
      </c>
    </row>
    <row r="28" spans="1:4">
      <c r="A28" s="3">
        <v>42169</v>
      </c>
      <c r="B28">
        <v>1537</v>
      </c>
      <c r="C28" s="1">
        <f t="shared" si="0"/>
        <v>338.85850700000003</v>
      </c>
      <c r="D28" s="13">
        <f t="shared" si="1"/>
        <v>0.21886549999999999</v>
      </c>
    </row>
    <row r="29" spans="1:4">
      <c r="A29" s="3">
        <v>42193</v>
      </c>
      <c r="B29">
        <v>1762</v>
      </c>
      <c r="C29" s="1">
        <f t="shared" si="0"/>
        <v>387.3533645</v>
      </c>
      <c r="D29" s="13">
        <f t="shared" ref="D29:D38" si="2">0.417*0.229+0.583*0.2059</f>
        <v>0.21553269999999997</v>
      </c>
    </row>
    <row r="30" spans="1:4">
      <c r="A30" s="3">
        <v>42203</v>
      </c>
      <c r="B30">
        <v>1844</v>
      </c>
      <c r="C30" s="1">
        <f t="shared" si="0"/>
        <v>405.02704590000002</v>
      </c>
      <c r="D30" s="13">
        <f t="shared" si="2"/>
        <v>0.21553269999999997</v>
      </c>
    </row>
    <row r="31" spans="1:4">
      <c r="A31" s="3">
        <v>42219</v>
      </c>
      <c r="B31">
        <v>1974</v>
      </c>
      <c r="C31" s="1">
        <f t="shared" ref="C31:C32" si="3">(B31-B30)*D31+C30</f>
        <v>433.04629690000002</v>
      </c>
      <c r="D31" s="13">
        <f t="shared" si="2"/>
        <v>0.21553269999999997</v>
      </c>
    </row>
    <row r="32" spans="1:4">
      <c r="A32" s="3">
        <v>42232</v>
      </c>
      <c r="B32">
        <v>2079</v>
      </c>
      <c r="C32" s="1">
        <f t="shared" si="3"/>
        <v>455.67723039999998</v>
      </c>
      <c r="D32" s="13">
        <f t="shared" si="2"/>
        <v>0.21553269999999997</v>
      </c>
    </row>
    <row r="33" spans="1:13">
      <c r="A33" s="3">
        <v>42245</v>
      </c>
      <c r="B33">
        <v>2171</v>
      </c>
      <c r="C33" s="1">
        <f t="shared" ref="C33:C36" si="4">(B33-B32)*D33+C32</f>
        <v>475.50623880000001</v>
      </c>
      <c r="D33" s="13">
        <f t="shared" si="2"/>
        <v>0.21553269999999997</v>
      </c>
    </row>
    <row r="34" spans="1:13">
      <c r="A34" s="3">
        <v>42284</v>
      </c>
      <c r="B34">
        <v>2413</v>
      </c>
      <c r="C34" s="1">
        <f t="shared" si="4"/>
        <v>527.66515219999997</v>
      </c>
      <c r="D34" s="13">
        <f t="shared" si="2"/>
        <v>0.21553269999999997</v>
      </c>
    </row>
    <row r="35" spans="1:13">
      <c r="A35" s="3">
        <v>42294</v>
      </c>
      <c r="B35">
        <v>2440</v>
      </c>
      <c r="C35" s="1">
        <f t="shared" si="4"/>
        <v>533.48453510000002</v>
      </c>
      <c r="D35" s="13">
        <f t="shared" si="2"/>
        <v>0.21553269999999997</v>
      </c>
    </row>
    <row r="36" spans="1:13">
      <c r="A36" s="3">
        <v>42309</v>
      </c>
      <c r="B36">
        <v>2476</v>
      </c>
      <c r="C36" s="1">
        <f t="shared" si="4"/>
        <v>541.24371229999997</v>
      </c>
      <c r="D36" s="13">
        <f t="shared" si="2"/>
        <v>0.21553269999999997</v>
      </c>
    </row>
    <row r="37" spans="1:13">
      <c r="A37" s="3">
        <v>42322</v>
      </c>
      <c r="B37">
        <v>2496</v>
      </c>
      <c r="C37" s="1">
        <f t="shared" ref="C37" si="5">(B37-B36)*D37+C36</f>
        <v>545.55436629999997</v>
      </c>
      <c r="D37" s="13">
        <f t="shared" si="2"/>
        <v>0.21553269999999997</v>
      </c>
    </row>
    <row r="38" spans="1:13">
      <c r="A38" s="3">
        <v>42358</v>
      </c>
      <c r="B38">
        <v>2539</v>
      </c>
      <c r="C38" s="1">
        <f t="shared" ref="C38" si="6">(B38-B37)*D38+C37</f>
        <v>554.82227239999997</v>
      </c>
      <c r="D38" s="13">
        <f t="shared" si="2"/>
        <v>0.21553269999999997</v>
      </c>
    </row>
    <row r="39" spans="1:13">
      <c r="A39" s="3">
        <v>42371</v>
      </c>
      <c r="B39">
        <v>2552</v>
      </c>
      <c r="C39" s="26">
        <f t="shared" ref="C39:C41" si="7">(B39-B38)*D39+C38</f>
        <v>557.28057109999997</v>
      </c>
      <c r="D39" s="27">
        <f t="shared" ref="D39:D49" si="8">0.417*0.2035+0.583*0.1788</f>
        <v>0.18909989999999999</v>
      </c>
    </row>
    <row r="40" spans="1:13">
      <c r="A40" s="3">
        <v>42386</v>
      </c>
      <c r="B40">
        <v>2562</v>
      </c>
      <c r="C40" s="26">
        <f t="shared" si="7"/>
        <v>559.17157009999994</v>
      </c>
      <c r="D40" s="27">
        <f t="shared" si="8"/>
        <v>0.18909989999999999</v>
      </c>
    </row>
    <row r="41" spans="1:13">
      <c r="A41" s="3">
        <v>42403</v>
      </c>
      <c r="B41">
        <v>2575</v>
      </c>
      <c r="C41" s="26">
        <f t="shared" si="7"/>
        <v>561.62986879999994</v>
      </c>
      <c r="D41" s="27">
        <f t="shared" si="8"/>
        <v>0.18909989999999999</v>
      </c>
    </row>
    <row r="42" spans="1:13">
      <c r="A42" s="3">
        <v>42422</v>
      </c>
      <c r="B42">
        <f>B41+0.6+0.8+1.1+2.4+0.2+4.7+1.7+3.7</f>
        <v>2590.1999999999994</v>
      </c>
      <c r="C42" s="26">
        <f t="shared" ref="C42" si="9">(B42-B41)*D42+C41</f>
        <v>564.50418727999977</v>
      </c>
      <c r="D42" s="27">
        <f t="shared" si="8"/>
        <v>0.18909989999999999</v>
      </c>
      <c r="G42" s="5"/>
      <c r="M42" s="5"/>
    </row>
    <row r="43" spans="1:13">
      <c r="A43" s="3">
        <v>42430</v>
      </c>
      <c r="B43">
        <f>B42+25</f>
        <v>2615.1999999999994</v>
      </c>
      <c r="C43" s="26">
        <f t="shared" ref="C43" si="10">(B43-B42)*D43+C42</f>
        <v>569.2316847799998</v>
      </c>
      <c r="D43" s="27">
        <f t="shared" si="8"/>
        <v>0.18909989999999999</v>
      </c>
    </row>
    <row r="44" spans="1:13">
      <c r="A44" s="3">
        <v>42444</v>
      </c>
      <c r="B44">
        <f>$B$42+100</f>
        <v>2690.1999999999994</v>
      </c>
      <c r="C44" s="26">
        <f t="shared" ref="C44:C45" si="11">(B44-B43)*D44+C43</f>
        <v>583.41417727999976</v>
      </c>
      <c r="D44" s="27">
        <f t="shared" si="8"/>
        <v>0.18909989999999999</v>
      </c>
    </row>
    <row r="45" spans="1:13">
      <c r="A45" s="3">
        <v>42461</v>
      </c>
      <c r="B45">
        <f>$B$42+190</f>
        <v>2780.1999999999994</v>
      </c>
      <c r="C45" s="26">
        <f t="shared" si="11"/>
        <v>600.43316827999979</v>
      </c>
      <c r="D45" s="27">
        <f t="shared" si="8"/>
        <v>0.18909989999999999</v>
      </c>
    </row>
    <row r="46" spans="1:13">
      <c r="A46" s="3">
        <v>42478</v>
      </c>
      <c r="B46">
        <f>$B$42+326</f>
        <v>2916.1999999999994</v>
      </c>
      <c r="C46" s="26">
        <f t="shared" ref="C46" si="12">(B46-B45)*D46+C45</f>
        <v>626.15075467999975</v>
      </c>
      <c r="D46" s="27">
        <f t="shared" si="8"/>
        <v>0.18909989999999999</v>
      </c>
    </row>
    <row r="47" spans="1:13">
      <c r="A47" s="3">
        <v>42493</v>
      </c>
      <c r="B47">
        <f>$B$42+448</f>
        <v>3038.1999999999994</v>
      </c>
      <c r="C47" s="26">
        <f t="shared" ref="C47" si="13">(B47-B46)*D47+C46</f>
        <v>649.22094247999974</v>
      </c>
      <c r="D47" s="27">
        <f t="shared" si="8"/>
        <v>0.18909989999999999</v>
      </c>
    </row>
    <row r="48" spans="1:13">
      <c r="A48" s="3">
        <v>42506</v>
      </c>
      <c r="B48">
        <f>$B$42+595</f>
        <v>3185.1999999999994</v>
      </c>
      <c r="C48" s="26">
        <f t="shared" ref="C48" si="14">(B48-B47)*D48+C47</f>
        <v>677.01862777999975</v>
      </c>
      <c r="D48" s="27">
        <f t="shared" si="8"/>
        <v>0.18909989999999999</v>
      </c>
    </row>
    <row r="49" spans="1:4">
      <c r="A49" s="3">
        <v>42522</v>
      </c>
      <c r="B49">
        <f>$B$42+680</f>
        <v>3270.1999999999994</v>
      </c>
      <c r="C49" s="26">
        <f t="shared" ref="C49" si="15">(B49-B48)*D49+C48</f>
        <v>693.09211927999979</v>
      </c>
      <c r="D49" s="27">
        <f t="shared" si="8"/>
        <v>0.18909989999999999</v>
      </c>
    </row>
    <row r="50" spans="1:4">
      <c r="A50" s="3">
        <v>42552</v>
      </c>
      <c r="B50">
        <f>$B$42+899</f>
        <v>3489.1999999999994</v>
      </c>
      <c r="C50" s="26">
        <f t="shared" ref="C50" si="16">(B50-B49)*D50+C49</f>
        <v>733.8060588799998</v>
      </c>
      <c r="D50" s="27">
        <f t="shared" ref="D50:D54" si="17">0.417*0.2006+0.583*0.1754</f>
        <v>0.18590839999999997</v>
      </c>
    </row>
    <row r="51" spans="1:4">
      <c r="A51" s="3">
        <v>42585</v>
      </c>
      <c r="B51">
        <f>$B$42+1157</f>
        <v>3747.1999999999994</v>
      </c>
      <c r="C51" s="26">
        <f t="shared" ref="C51" si="18">(B51-B50)*D51+C50</f>
        <v>781.77042607999977</v>
      </c>
      <c r="D51" s="27">
        <f t="shared" si="17"/>
        <v>0.18590839999999997</v>
      </c>
    </row>
    <row r="52" spans="1:4">
      <c r="A52" s="3">
        <v>42619</v>
      </c>
      <c r="B52">
        <f>$B$42+1436</f>
        <v>4026.1999999999994</v>
      </c>
      <c r="C52" s="26">
        <f t="shared" ref="C52" si="19">(B52-B51)*D52+C51</f>
        <v>833.63886967999974</v>
      </c>
      <c r="D52" s="27">
        <f t="shared" si="17"/>
        <v>0.18590839999999997</v>
      </c>
    </row>
    <row r="53" spans="1:4">
      <c r="A53" s="3">
        <v>42644</v>
      </c>
      <c r="B53">
        <f>$B$42+1624</f>
        <v>4214.1999999999989</v>
      </c>
      <c r="C53" s="26">
        <f t="shared" ref="C53" si="20">(B53-B52)*D53+C52</f>
        <v>868.58964887999969</v>
      </c>
      <c r="D53" s="27">
        <f t="shared" si="17"/>
        <v>0.18590839999999997</v>
      </c>
    </row>
    <row r="54" spans="1:4">
      <c r="A54" s="3">
        <v>42675</v>
      </c>
      <c r="B54">
        <f>$B$42+1711</f>
        <v>4301.1999999999989</v>
      </c>
      <c r="C54" s="26">
        <f t="shared" ref="C54" si="21">(B54-B53)*D54+C53</f>
        <v>884.76367967999965</v>
      </c>
      <c r="D54" s="27">
        <f t="shared" si="17"/>
        <v>0.18590839999999997</v>
      </c>
    </row>
    <row r="55" spans="1:4">
      <c r="A55" s="3">
        <v>42746</v>
      </c>
      <c r="B55">
        <f>$B$42+1790</f>
        <v>4380.1999999999989</v>
      </c>
      <c r="C55" s="26">
        <f t="shared" ref="C55" si="22">(B55-B54)*D55+C54</f>
        <v>899.28320027999962</v>
      </c>
      <c r="D55" s="27">
        <f>0.417*0.1979+0.583*0.1737</f>
        <v>0.18379139999999999</v>
      </c>
    </row>
    <row r="56" spans="1:4">
      <c r="A56" s="3">
        <v>42767</v>
      </c>
      <c r="B56">
        <f>$B$42+1823</f>
        <v>4413.1999999999989</v>
      </c>
      <c r="C56" s="26">
        <f t="shared" ref="C56" si="23">(B56-B55)*D56+C55</f>
        <v>905.34831647999965</v>
      </c>
      <c r="D56" s="27">
        <f>0.417*0.1979+0.583*0.1737</f>
        <v>0.18379139999999999</v>
      </c>
    </row>
    <row r="57" spans="1:4">
      <c r="A57" s="3">
        <v>42795</v>
      </c>
      <c r="B57">
        <f>$B$42+1878</f>
        <v>4468.1999999999989</v>
      </c>
      <c r="C57" s="26">
        <f t="shared" ref="C57" si="24">(B57-B56)*D57+C56</f>
        <v>915.45684347999963</v>
      </c>
      <c r="D57" s="27">
        <f>0.417*0.1979+0.583*0.1737</f>
        <v>0.18379139999999999</v>
      </c>
    </row>
    <row r="58" spans="1:4">
      <c r="A58" s="3">
        <v>42826</v>
      </c>
      <c r="B58">
        <f>$B$42+2065</f>
        <v>4655.1999999999989</v>
      </c>
      <c r="C58" s="26">
        <f t="shared" ref="C58" si="25">(B58-B57)*D58+C57</f>
        <v>949.82583527999964</v>
      </c>
      <c r="D58" s="27">
        <f>0.417*0.1979+0.583*0.1737</f>
        <v>0.18379139999999999</v>
      </c>
    </row>
    <row r="59" spans="1:4">
      <c r="A59" s="3">
        <v>42887</v>
      </c>
      <c r="B59">
        <f>$B$42+2538</f>
        <v>5128.1999999999989</v>
      </c>
      <c r="C59" s="26">
        <f t="shared" ref="C59" si="26">(B59-B58)*D59+C58</f>
        <v>1036.7591674799996</v>
      </c>
      <c r="D59" s="27">
        <f>0.417*0.1979+0.583*0.1737</f>
        <v>0.18379139999999999</v>
      </c>
    </row>
  </sheetData>
  <hyperlinks>
    <hyperlink ref="J1" r:id="rId1"/>
  </hyperlinks>
  <pageMargins left="0.75" right="0.75" top="1" bottom="1" header="0.5" footer="0.5"/>
  <pageSetup paperSize="9" orientation="portrait" horizontalDpi="4294967292" verticalDpi="4294967292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workbookViewId="0">
      <selection activeCell="C54" sqref="C54:D55"/>
    </sheetView>
  </sheetViews>
  <sheetFormatPr baseColWidth="10" defaultColWidth="11.5" defaultRowHeight="14" x14ac:dyDescent="0"/>
  <cols>
    <col min="3" max="3" width="11.5" style="1"/>
  </cols>
  <sheetData>
    <row r="1" spans="1:15">
      <c r="A1" t="s">
        <v>0</v>
      </c>
      <c r="B1" t="s">
        <v>1</v>
      </c>
      <c r="C1" s="1" t="s">
        <v>2</v>
      </c>
      <c r="D1" t="s">
        <v>3</v>
      </c>
      <c r="I1" t="s">
        <v>4</v>
      </c>
      <c r="J1" s="2" t="s">
        <v>5</v>
      </c>
    </row>
    <row r="2" spans="1:15">
      <c r="A2" s="3">
        <v>41884</v>
      </c>
      <c r="B2">
        <v>0</v>
      </c>
      <c r="C2" s="1">
        <v>0</v>
      </c>
      <c r="E2" s="15" t="s">
        <v>73</v>
      </c>
      <c r="F2" s="16">
        <f>(B39-B16)/(0.001*M2)</f>
        <v>810.81818181818187</v>
      </c>
      <c r="I2" t="s">
        <v>6</v>
      </c>
      <c r="J2">
        <f>5750</f>
        <v>5750</v>
      </c>
      <c r="L2" t="s">
        <v>7</v>
      </c>
      <c r="M2">
        <v>3080</v>
      </c>
      <c r="N2" t="s">
        <v>8</v>
      </c>
    </row>
    <row r="3" spans="1:15">
      <c r="A3" s="3">
        <v>41885</v>
      </c>
      <c r="B3">
        <v>9.17</v>
      </c>
      <c r="C3" s="1">
        <f t="shared" ref="C3:C10" si="0">(B3-B2)*D3+C2</f>
        <v>2.048578</v>
      </c>
      <c r="D3">
        <v>0.22339999999999999</v>
      </c>
      <c r="E3" s="15" t="s">
        <v>75</v>
      </c>
      <c r="F3" s="16">
        <f>(B47-B27)/(0.001*M2)</f>
        <v>737.04220779220782</v>
      </c>
      <c r="I3" t="s">
        <v>17</v>
      </c>
      <c r="J3">
        <v>279</v>
      </c>
    </row>
    <row r="4" spans="1:15">
      <c r="A4" s="3">
        <v>41887</v>
      </c>
      <c r="B4">
        <v>25.48</v>
      </c>
      <c r="C4" s="1">
        <f t="shared" si="0"/>
        <v>5.6922320000000006</v>
      </c>
      <c r="D4">
        <v>0.22339999999999999</v>
      </c>
      <c r="E4" s="15" t="s">
        <v>76</v>
      </c>
      <c r="F4" s="16">
        <f>(B53-B39)/(0.001*M2)</f>
        <v>723.53896103896091</v>
      </c>
      <c r="I4" t="s">
        <v>10</v>
      </c>
      <c r="J4">
        <v>80</v>
      </c>
    </row>
    <row r="5" spans="1:15">
      <c r="A5" s="3">
        <v>41890</v>
      </c>
      <c r="B5">
        <v>46.51</v>
      </c>
      <c r="C5" s="1">
        <f t="shared" si="0"/>
        <v>10.390333999999999</v>
      </c>
      <c r="D5">
        <v>0.22339999999999999</v>
      </c>
      <c r="I5" t="s">
        <v>11</v>
      </c>
      <c r="J5">
        <f>J2+J3+J4</f>
        <v>6109</v>
      </c>
      <c r="K5" s="4">
        <f>J5/M2</f>
        <v>1.9834415584415583</v>
      </c>
      <c r="L5" s="5" t="s">
        <v>12</v>
      </c>
    </row>
    <row r="6" spans="1:15">
      <c r="A6" s="3">
        <v>41893</v>
      </c>
      <c r="B6">
        <v>60.95</v>
      </c>
      <c r="C6" s="1">
        <f t="shared" si="0"/>
        <v>13.61623</v>
      </c>
      <c r="D6">
        <v>0.22339999999999999</v>
      </c>
    </row>
    <row r="7" spans="1:15">
      <c r="A7" s="3">
        <v>41897</v>
      </c>
      <c r="B7">
        <v>93.87</v>
      </c>
      <c r="C7" s="1">
        <f t="shared" si="0"/>
        <v>20.970558</v>
      </c>
      <c r="D7">
        <v>0.22339999999999999</v>
      </c>
      <c r="J7" s="6">
        <f>MAX(C:C)/J5</f>
        <v>0.19626019170698966</v>
      </c>
      <c r="K7" t="s">
        <v>13</v>
      </c>
      <c r="M7" t="s">
        <v>14</v>
      </c>
      <c r="N7" s="7">
        <f>1/J7*(MAX(A:A)-MIN(A:A))+MIN(A:A)</f>
        <v>46994.562622385733</v>
      </c>
    </row>
    <row r="8" spans="1:15">
      <c r="A8" s="3">
        <v>41904</v>
      </c>
      <c r="B8">
        <f>136.45-2.03</f>
        <v>134.41999999999999</v>
      </c>
      <c r="C8" s="1">
        <f t="shared" si="0"/>
        <v>30.029427999999996</v>
      </c>
      <c r="D8">
        <v>0.22339999999999999</v>
      </c>
      <c r="M8" t="s">
        <v>15</v>
      </c>
      <c r="N8" s="8">
        <f>(N7-A2)/365</f>
        <v>14.001541431193788</v>
      </c>
      <c r="O8" s="9" t="s">
        <v>16</v>
      </c>
    </row>
    <row r="9" spans="1:15">
      <c r="A9" s="3">
        <v>41940</v>
      </c>
      <c r="B9">
        <v>261.06</v>
      </c>
      <c r="C9" s="1">
        <f t="shared" si="0"/>
        <v>58.320803999999995</v>
      </c>
      <c r="D9">
        <v>0.22339999999999999</v>
      </c>
    </row>
    <row r="10" spans="1:15">
      <c r="A10" s="3">
        <v>41957</v>
      </c>
      <c r="B10">
        <v>295.75</v>
      </c>
      <c r="C10" s="1">
        <f t="shared" si="0"/>
        <v>66.070549999999997</v>
      </c>
      <c r="D10">
        <v>0.22339999999999999</v>
      </c>
    </row>
    <row r="11" spans="1:15">
      <c r="A11" s="3">
        <v>41978</v>
      </c>
      <c r="B11">
        <v>322.27</v>
      </c>
      <c r="C11" s="1">
        <f t="shared" ref="C11:C21" si="1">(B11-B10)*D11+C10</f>
        <v>71.995117999999991</v>
      </c>
      <c r="D11">
        <v>0.22339999999999999</v>
      </c>
    </row>
    <row r="12" spans="1:15">
      <c r="A12" s="3">
        <v>42011</v>
      </c>
      <c r="B12">
        <v>349.88</v>
      </c>
      <c r="C12" s="1">
        <f t="shared" si="1"/>
        <v>78.163191999999995</v>
      </c>
      <c r="D12">
        <v>0.22339999999999999</v>
      </c>
    </row>
    <row r="13" spans="1:15">
      <c r="A13" s="3">
        <v>42033</v>
      </c>
      <c r="B13">
        <v>375.34</v>
      </c>
      <c r="C13" s="1">
        <f t="shared" si="1"/>
        <v>83.735507629999987</v>
      </c>
      <c r="D13">
        <f>ZonPaneel_Steca1800!D17</f>
        <v>0.21886549999999999</v>
      </c>
    </row>
    <row r="14" spans="1:15">
      <c r="A14" s="3">
        <v>42058</v>
      </c>
      <c r="B14">
        <v>439.61</v>
      </c>
      <c r="C14" s="1">
        <f t="shared" si="1"/>
        <v>97.80199331499999</v>
      </c>
      <c r="D14">
        <f>ZonPaneel_Steca1800!D18</f>
        <v>0.21886549999999999</v>
      </c>
    </row>
    <row r="15" spans="1:15">
      <c r="A15" s="3">
        <v>42062</v>
      </c>
      <c r="B15">
        <v>458.62</v>
      </c>
      <c r="C15" s="1">
        <f t="shared" si="1"/>
        <v>101.96262646999999</v>
      </c>
      <c r="D15">
        <f>ZonPaneel_Steca1800!D19</f>
        <v>0.21886549999999999</v>
      </c>
    </row>
    <row r="16" spans="1:15">
      <c r="A16" s="3">
        <v>42064</v>
      </c>
      <c r="B16">
        <v>468.87</v>
      </c>
      <c r="C16" s="1">
        <f t="shared" si="1"/>
        <v>104.20599784499998</v>
      </c>
      <c r="D16">
        <f>ZonPaneel_Steca1800!D20</f>
        <v>0.21886549999999999</v>
      </c>
    </row>
    <row r="17" spans="1:4">
      <c r="A17" s="3">
        <v>42078</v>
      </c>
      <c r="B17">
        <v>541.26</v>
      </c>
      <c r="C17" s="1">
        <f t="shared" si="1"/>
        <v>120.04967138999999</v>
      </c>
      <c r="D17">
        <f>ZonPaneel_Steca1800!D21</f>
        <v>0.21886549999999999</v>
      </c>
    </row>
    <row r="18" spans="1:4">
      <c r="A18" s="3">
        <v>42099</v>
      </c>
      <c r="B18">
        <v>672.58</v>
      </c>
      <c r="C18" s="1">
        <f t="shared" si="1"/>
        <v>148.79108884999999</v>
      </c>
      <c r="D18">
        <f>ZonPaneel_Steca1800!D22</f>
        <v>0.21886549999999999</v>
      </c>
    </row>
    <row r="19" spans="1:4">
      <c r="A19" s="3">
        <v>42109</v>
      </c>
      <c r="B19">
        <v>788.23</v>
      </c>
      <c r="C19" s="1">
        <f t="shared" si="1"/>
        <v>174.10288392499999</v>
      </c>
      <c r="D19">
        <f>ZonPaneel_Steca1800!D23</f>
        <v>0.21886549999999999</v>
      </c>
    </row>
    <row r="20" spans="1:4">
      <c r="A20" s="3">
        <v>42122</v>
      </c>
      <c r="B20">
        <v>949.89</v>
      </c>
      <c r="C20" s="1">
        <f t="shared" si="1"/>
        <v>209.48468065499998</v>
      </c>
      <c r="D20">
        <f>ZonPaneel_Steca1800!D24</f>
        <v>0.21886549999999999</v>
      </c>
    </row>
    <row r="21" spans="1:4">
      <c r="A21" s="3">
        <v>42125</v>
      </c>
      <c r="B21">
        <v>984.63</v>
      </c>
      <c r="C21" s="1">
        <f t="shared" si="1"/>
        <v>217.08806812499998</v>
      </c>
      <c r="D21">
        <f>ZonPaneel_Steca1800!D25</f>
        <v>0.21886549999999999</v>
      </c>
    </row>
    <row r="22" spans="1:4">
      <c r="A22" s="3">
        <v>42140</v>
      </c>
      <c r="B22">
        <v>1190</v>
      </c>
      <c r="C22" s="1">
        <f t="shared" ref="C22:C31" si="2">(B22-B21)*D22+C21</f>
        <v>262.03647586</v>
      </c>
      <c r="D22">
        <f>ZonPaneel_Steca1800!D26</f>
        <v>0.21886549999999999</v>
      </c>
    </row>
    <row r="23" spans="1:4">
      <c r="A23" s="3">
        <v>42156</v>
      </c>
      <c r="B23">
        <v>1380</v>
      </c>
      <c r="C23" s="1">
        <f t="shared" si="2"/>
        <v>303.62092086000001</v>
      </c>
      <c r="D23">
        <f>ZonPaneel_Steca1800!D27</f>
        <v>0.21886549999999999</v>
      </c>
    </row>
    <row r="24" spans="1:4">
      <c r="A24" s="3">
        <v>42169</v>
      </c>
      <c r="B24">
        <v>1488</v>
      </c>
      <c r="C24" s="1">
        <f t="shared" si="2"/>
        <v>327.25839486000001</v>
      </c>
      <c r="D24">
        <f>ZonPaneel_Steca1800!D28</f>
        <v>0.21886549999999999</v>
      </c>
    </row>
    <row r="25" spans="1:4">
      <c r="A25" s="3">
        <v>42193</v>
      </c>
      <c r="B25">
        <v>1938</v>
      </c>
      <c r="C25" s="1">
        <f t="shared" si="2"/>
        <v>424.24810986</v>
      </c>
      <c r="D25">
        <f>ZonPaneel_Steca1800!D29</f>
        <v>0.21553269999999997</v>
      </c>
    </row>
    <row r="26" spans="1:4">
      <c r="A26" s="3">
        <v>42203</v>
      </c>
      <c r="B26">
        <v>2062</v>
      </c>
      <c r="C26" s="1">
        <f t="shared" si="2"/>
        <v>450.97416465999999</v>
      </c>
      <c r="D26">
        <f>ZonPaneel_Steca1800!D30</f>
        <v>0.21553269999999997</v>
      </c>
    </row>
    <row r="27" spans="1:4">
      <c r="A27" s="3">
        <v>42219</v>
      </c>
      <c r="B27">
        <v>2243</v>
      </c>
      <c r="C27" s="1">
        <f t="shared" si="2"/>
        <v>489.98558335999996</v>
      </c>
      <c r="D27">
        <f>ZonPaneel_Steca1800!D31</f>
        <v>0.21553269999999997</v>
      </c>
    </row>
    <row r="28" spans="1:4">
      <c r="A28" s="3">
        <v>42232</v>
      </c>
      <c r="B28">
        <v>2380.8000000000002</v>
      </c>
      <c r="C28" s="1">
        <f t="shared" si="2"/>
        <v>519.68598941999994</v>
      </c>
      <c r="D28">
        <f>ZonPaneel_Steca1800!D32</f>
        <v>0.21553269999999997</v>
      </c>
    </row>
    <row r="29" spans="1:4">
      <c r="A29" s="3">
        <v>42245</v>
      </c>
      <c r="B29">
        <v>2479.4</v>
      </c>
      <c r="C29" s="1">
        <f t="shared" si="2"/>
        <v>540.93751363999991</v>
      </c>
      <c r="D29">
        <f>ZonPaneel_Steca1800!D33</f>
        <v>0.21553269999999997</v>
      </c>
    </row>
    <row r="30" spans="1:4">
      <c r="A30" s="3">
        <v>42284</v>
      </c>
      <c r="B30">
        <v>2699</v>
      </c>
      <c r="C30" s="1">
        <f t="shared" si="2"/>
        <v>588.26849455999991</v>
      </c>
      <c r="D30">
        <f>ZonPaneel_Steca1800!D34</f>
        <v>0.21553269999999997</v>
      </c>
    </row>
    <row r="31" spans="1:4">
      <c r="A31" s="3">
        <v>42294</v>
      </c>
      <c r="B31">
        <v>2721</v>
      </c>
      <c r="C31" s="1">
        <f t="shared" si="2"/>
        <v>593.01021395999987</v>
      </c>
      <c r="D31">
        <f>ZonPaneel_Steca1800!D35</f>
        <v>0.21553269999999997</v>
      </c>
    </row>
    <row r="32" spans="1:4">
      <c r="A32" s="3">
        <v>42309</v>
      </c>
      <c r="B32">
        <v>2758.4</v>
      </c>
      <c r="C32" s="1">
        <f t="shared" ref="C32" si="3">(B32-B31)*D32+C31</f>
        <v>601.07113693999986</v>
      </c>
      <c r="D32">
        <f>ZonPaneel_Steca1800!D36</f>
        <v>0.21553269999999997</v>
      </c>
    </row>
    <row r="33" spans="1:15">
      <c r="A33" s="3">
        <v>42322</v>
      </c>
      <c r="B33">
        <v>2781.15</v>
      </c>
      <c r="C33" s="1">
        <f t="shared" ref="C33" si="4">(B33-B32)*D33+C32</f>
        <v>605.97450586499986</v>
      </c>
      <c r="D33">
        <f>ZonPaneel_Steca1800!D37</f>
        <v>0.21553269999999997</v>
      </c>
    </row>
    <row r="34" spans="1:15">
      <c r="A34" s="3">
        <v>42358</v>
      </c>
      <c r="B34">
        <v>2827.26</v>
      </c>
      <c r="C34" s="1">
        <f t="shared" ref="C34" si="5">(B34-B33)*D34+C33</f>
        <v>615.91271866199986</v>
      </c>
      <c r="D34">
        <f>ZonPaneel_Steca1800!D38</f>
        <v>0.21553269999999997</v>
      </c>
    </row>
    <row r="35" spans="1:15">
      <c r="A35" s="3">
        <v>42371</v>
      </c>
      <c r="B35">
        <v>2843.85</v>
      </c>
      <c r="C35" s="1">
        <f t="shared" ref="C35" si="6">(B35-B34)*D35+C34</f>
        <v>619.04988600299976</v>
      </c>
      <c r="D35">
        <f>ZonPaneel_Steca1800!D39</f>
        <v>0.18909989999999999</v>
      </c>
    </row>
    <row r="36" spans="1:15">
      <c r="A36" s="3">
        <v>42386</v>
      </c>
      <c r="B36">
        <v>2860.45</v>
      </c>
      <c r="C36" s="1">
        <f t="shared" ref="C36:C37" si="7">(B36-B35)*D36+C35</f>
        <v>622.18894434299978</v>
      </c>
      <c r="D36">
        <f>ZonPaneel_Steca1800!D40</f>
        <v>0.18909989999999999</v>
      </c>
    </row>
    <row r="37" spans="1:15">
      <c r="A37" s="3">
        <v>42403</v>
      </c>
      <c r="B37">
        <v>2883.72</v>
      </c>
      <c r="C37" s="1">
        <f t="shared" si="7"/>
        <v>626.58929901599981</v>
      </c>
      <c r="D37">
        <f>ZonPaneel_Steca1800!D41</f>
        <v>0.18909989999999999</v>
      </c>
      <c r="L37" t="s">
        <v>18</v>
      </c>
      <c r="M37" t="s">
        <v>19</v>
      </c>
    </row>
    <row r="38" spans="1:15">
      <c r="A38" s="3">
        <v>42422</v>
      </c>
      <c r="B38">
        <v>2933.81</v>
      </c>
      <c r="C38" s="1">
        <f t="shared" ref="C38:C39" si="8">(B38-B37)*D38+C37</f>
        <v>636.06131300699985</v>
      </c>
      <c r="D38">
        <f>ZonPaneel_Steca1800!D42</f>
        <v>0.18909989999999999</v>
      </c>
      <c r="G38" s="10" t="s">
        <v>20</v>
      </c>
      <c r="I38" t="s">
        <v>21</v>
      </c>
      <c r="L38" t="s">
        <v>22</v>
      </c>
      <c r="M38" t="s">
        <v>23</v>
      </c>
      <c r="O38" t="s">
        <v>24</v>
      </c>
    </row>
    <row r="39" spans="1:15">
      <c r="A39" s="3">
        <f>ZonPaneel_Steca1800!A43</f>
        <v>42430</v>
      </c>
      <c r="B39">
        <v>2966.19</v>
      </c>
      <c r="C39" s="1">
        <f t="shared" si="8"/>
        <v>642.18436776899989</v>
      </c>
      <c r="D39">
        <f>ZonPaneel_Steca1800!D43</f>
        <v>0.18909989999999999</v>
      </c>
      <c r="G39" s="10" t="s">
        <v>25</v>
      </c>
      <c r="I39" t="s">
        <v>26</v>
      </c>
      <c r="L39" t="s">
        <v>23</v>
      </c>
      <c r="M39" t="s">
        <v>22</v>
      </c>
    </row>
    <row r="40" spans="1:15">
      <c r="A40" s="3">
        <f>ZonPaneel_Steca1800!A44</f>
        <v>42444</v>
      </c>
      <c r="B40">
        <v>3039.69</v>
      </c>
      <c r="C40" s="1">
        <f t="shared" ref="C40" si="9">(B40-B39)*D40+C39</f>
        <v>656.0832104189999</v>
      </c>
      <c r="D40">
        <f>ZonPaneel_Steca1800!D44</f>
        <v>0.18909989999999999</v>
      </c>
      <c r="G40" s="10" t="s">
        <v>27</v>
      </c>
      <c r="I40" t="s">
        <v>28</v>
      </c>
      <c r="L40" t="s">
        <v>22</v>
      </c>
      <c r="M40" t="s">
        <v>22</v>
      </c>
    </row>
    <row r="41" spans="1:15">
      <c r="A41" s="3">
        <f>ZonPaneel_Steca1800!A45</f>
        <v>42461</v>
      </c>
      <c r="B41">
        <v>3141</v>
      </c>
      <c r="C41" s="1">
        <f t="shared" ref="C41" si="10">(B41-B40)*D41+C40</f>
        <v>675.24092128799987</v>
      </c>
      <c r="D41">
        <f>ZonPaneel_Steca1800!D45</f>
        <v>0.18909989999999999</v>
      </c>
      <c r="G41" s="10" t="s">
        <v>29</v>
      </c>
      <c r="I41" t="s">
        <v>30</v>
      </c>
      <c r="L41" t="s">
        <v>23</v>
      </c>
      <c r="M41" t="s">
        <v>23</v>
      </c>
    </row>
    <row r="42" spans="1:15">
      <c r="A42" s="3">
        <f>ZonPaneel_Steca1800!A46</f>
        <v>42478</v>
      </c>
      <c r="B42">
        <v>3300</v>
      </c>
      <c r="C42" s="1">
        <f t="shared" ref="C42" si="11">(B42-B41)*D42+C41</f>
        <v>705.30780538799991</v>
      </c>
      <c r="D42">
        <f>ZonPaneel_Steca1800!D46</f>
        <v>0.18909989999999999</v>
      </c>
      <c r="G42" s="11" t="s">
        <v>31</v>
      </c>
      <c r="I42" t="s">
        <v>32</v>
      </c>
      <c r="L42" t="s">
        <v>23</v>
      </c>
      <c r="M42" s="12" t="s">
        <v>22</v>
      </c>
    </row>
    <row r="43" spans="1:15">
      <c r="A43" s="3">
        <f>ZonPaneel_Steca1800!A47</f>
        <v>42493</v>
      </c>
      <c r="B43">
        <v>3477.29</v>
      </c>
      <c r="C43" s="1">
        <f t="shared" ref="C43" si="12">(B43-B42)*D43+C42</f>
        <v>738.83332665899991</v>
      </c>
      <c r="D43">
        <f>ZonPaneel_Steca1800!D47</f>
        <v>0.18909989999999999</v>
      </c>
      <c r="G43" s="11" t="s">
        <v>33</v>
      </c>
      <c r="I43" t="s">
        <v>34</v>
      </c>
      <c r="L43" t="s">
        <v>23</v>
      </c>
      <c r="M43" t="s">
        <v>22</v>
      </c>
    </row>
    <row r="44" spans="1:15">
      <c r="A44" s="3">
        <f>ZonPaneel_Steca1800!A48</f>
        <v>42506</v>
      </c>
      <c r="B44">
        <v>3655.28</v>
      </c>
      <c r="C44" s="1">
        <f t="shared" ref="C44" si="13">(B44-B43)*D44+C43</f>
        <v>772.49121786000001</v>
      </c>
      <c r="D44">
        <f>ZonPaneel_Steca1800!D48</f>
        <v>0.18909989999999999</v>
      </c>
      <c r="G44" s="11" t="s">
        <v>35</v>
      </c>
      <c r="I44" t="s">
        <v>36</v>
      </c>
      <c r="L44" t="s">
        <v>23</v>
      </c>
      <c r="M44" t="s">
        <v>22</v>
      </c>
    </row>
    <row r="45" spans="1:15">
      <c r="A45" s="3">
        <f>ZonPaneel_Steca1800!A49</f>
        <v>42522</v>
      </c>
      <c r="B45">
        <v>3792.34</v>
      </c>
      <c r="C45" s="1">
        <f t="shared" ref="C45" si="14">(B45-B44)*D45+C44</f>
        <v>798.40925015400001</v>
      </c>
      <c r="D45">
        <f>ZonPaneel_Steca1800!D49</f>
        <v>0.18909989999999999</v>
      </c>
    </row>
    <row r="46" spans="1:15">
      <c r="A46" s="3">
        <f>ZonPaneel_Steca1800!A50</f>
        <v>42552</v>
      </c>
      <c r="B46">
        <v>4134.3</v>
      </c>
      <c r="C46" s="1">
        <f t="shared" ref="C46" si="15">(B46-B45)*D46+C45</f>
        <v>861.98248661800005</v>
      </c>
      <c r="D46">
        <f>ZonPaneel_Steca1800!D50</f>
        <v>0.18590839999999997</v>
      </c>
    </row>
    <row r="47" spans="1:15">
      <c r="A47" s="3">
        <f>ZonPaneel_Steca1800!A51</f>
        <v>42585</v>
      </c>
      <c r="B47">
        <v>4513.09</v>
      </c>
      <c r="C47" s="1">
        <f t="shared" ref="C47" si="16">(B47-B46)*D47+C46</f>
        <v>932.402729454</v>
      </c>
      <c r="D47">
        <f>ZonPaneel_Steca1800!D51</f>
        <v>0.18590839999999997</v>
      </c>
    </row>
    <row r="48" spans="1:15">
      <c r="A48" s="3">
        <f>ZonPaneel_Steca1800!A52</f>
        <v>42619</v>
      </c>
      <c r="B48">
        <v>4809.3</v>
      </c>
      <c r="C48" s="1">
        <f t="shared" ref="C48" si="17">(B48-B47)*D48+C47</f>
        <v>987.47065661800002</v>
      </c>
      <c r="D48">
        <f>ZonPaneel_Steca1800!D52</f>
        <v>0.18590839999999997</v>
      </c>
    </row>
    <row r="49" spans="1:4">
      <c r="A49" s="3">
        <f>ZonPaneel_Steca1800!A53</f>
        <v>42644</v>
      </c>
      <c r="B49">
        <v>4936.75</v>
      </c>
      <c r="C49" s="1">
        <f t="shared" ref="C49" si="18">(B49-B48)*D49+C48</f>
        <v>1011.164682198</v>
      </c>
      <c r="D49">
        <f>ZonPaneel_Steca1800!D53</f>
        <v>0.18590839999999997</v>
      </c>
    </row>
    <row r="50" spans="1:4">
      <c r="A50" s="3">
        <f>ZonPaneel_Steca1800!A54</f>
        <v>42675</v>
      </c>
      <c r="B50">
        <v>5019.21</v>
      </c>
      <c r="C50" s="1">
        <f t="shared" ref="C50" si="19">(B50-B49)*D50+C49</f>
        <v>1026.494688862</v>
      </c>
      <c r="D50">
        <f>ZonPaneel_Steca1800!D54</f>
        <v>0.18590839999999997</v>
      </c>
    </row>
    <row r="51" spans="1:4">
      <c r="A51" s="3">
        <f>ZonPaneel_Steca1800!A55</f>
        <v>42746</v>
      </c>
      <c r="B51">
        <v>5100.87</v>
      </c>
      <c r="C51" s="1">
        <f t="shared" ref="C51" si="20">(B51-B50)*D51+C50</f>
        <v>1041.5030945859999</v>
      </c>
      <c r="D51">
        <f>ZonPaneel_Steca1800!D55</f>
        <v>0.18379139999999999</v>
      </c>
    </row>
    <row r="52" spans="1:4">
      <c r="A52" s="3">
        <f>ZonPaneel_Steca1800!A56</f>
        <v>42767</v>
      </c>
      <c r="B52">
        <v>5130.49</v>
      </c>
      <c r="C52" s="1">
        <f t="shared" ref="C52" si="21">(B52-B51)*D52+C51</f>
        <v>1046.9469958539999</v>
      </c>
      <c r="D52">
        <f>ZonPaneel_Steca1800!D56</f>
        <v>0.18379139999999999</v>
      </c>
    </row>
    <row r="53" spans="1:4">
      <c r="A53" s="3">
        <f>ZonPaneel_Steca1800!A57</f>
        <v>42795</v>
      </c>
      <c r="B53">
        <v>5194.6899999999996</v>
      </c>
      <c r="C53" s="1">
        <f t="shared" ref="C53" si="22">(B53-B52)*D53+C52</f>
        <v>1058.7464037339998</v>
      </c>
      <c r="D53">
        <f>ZonPaneel_Steca1800!D57</f>
        <v>0.18379139999999999</v>
      </c>
    </row>
    <row r="54" spans="1:4">
      <c r="A54" s="3">
        <f>ZonPaneel_Steca1800!A58</f>
        <v>42826</v>
      </c>
      <c r="B54">
        <f>5195.69+160</f>
        <v>5355.69</v>
      </c>
      <c r="C54" s="1">
        <f t="shared" ref="C54" si="23">(B54-B53)*D54+C53</f>
        <v>1088.3368191339998</v>
      </c>
      <c r="D54">
        <f>ZonPaneel_Steca1800!D58</f>
        <v>0.18379139999999999</v>
      </c>
    </row>
    <row r="55" spans="1:4">
      <c r="A55" s="3">
        <f>ZonPaneel_Steca1800!A59</f>
        <v>42887</v>
      </c>
      <c r="B55">
        <v>5957.55</v>
      </c>
      <c r="C55" s="1">
        <f t="shared" ref="C55" si="24">(B55-B54)*D55+C54</f>
        <v>1198.9535111379998</v>
      </c>
      <c r="D55">
        <f>ZonPaneel_Steca1800!D59</f>
        <v>0.18379139999999999</v>
      </c>
    </row>
    <row r="56" spans="1:4">
      <c r="A56" s="3"/>
    </row>
    <row r="57" spans="1:4">
      <c r="A57" s="3"/>
    </row>
  </sheetData>
  <hyperlinks>
    <hyperlink ref="J1" r:id="rId1"/>
  </hyperlinks>
  <pageMargins left="0.75" right="0.75" top="1" bottom="1" header="0.5" footer="0.5"/>
  <pageSetup paperSize="9" orientation="portrait" horizontalDpi="4294967292" verticalDpi="4294967292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selection activeCell="C43" sqref="C43:D44"/>
    </sheetView>
  </sheetViews>
  <sheetFormatPr baseColWidth="10" defaultColWidth="11.5" defaultRowHeight="14" x14ac:dyDescent="0"/>
  <cols>
    <col min="3" max="3" width="11.5" style="1"/>
  </cols>
  <sheetData>
    <row r="1" spans="1:15">
      <c r="A1" t="s">
        <v>0</v>
      </c>
      <c r="B1" t="s">
        <v>1</v>
      </c>
      <c r="C1" s="1" t="s">
        <v>2</v>
      </c>
      <c r="D1" t="s">
        <v>3</v>
      </c>
      <c r="I1" t="s">
        <v>4</v>
      </c>
      <c r="J1" s="2" t="s">
        <v>5</v>
      </c>
    </row>
    <row r="2" spans="1:15">
      <c r="A2" s="3">
        <v>42055</v>
      </c>
      <c r="B2">
        <v>0</v>
      </c>
      <c r="C2" s="1">
        <v>0</v>
      </c>
      <c r="E2" s="15" t="s">
        <v>73</v>
      </c>
      <c r="F2" s="16">
        <f>(B28-B5)/(0.001*M2)</f>
        <v>938.10397553516816</v>
      </c>
      <c r="I2" t="s">
        <v>6</v>
      </c>
      <c r="J2">
        <v>2250</v>
      </c>
      <c r="L2" t="s">
        <v>7</v>
      </c>
      <c r="M2">
        <f>3*327</f>
        <v>981</v>
      </c>
      <c r="N2" t="s">
        <v>8</v>
      </c>
    </row>
    <row r="3" spans="1:15">
      <c r="A3" s="3">
        <v>42058</v>
      </c>
      <c r="B3">
        <v>2.7</v>
      </c>
      <c r="C3" s="1">
        <f t="shared" ref="C3:C10" si="0">(B3-B2)*D3+C2</f>
        <v>0.59093685000000007</v>
      </c>
      <c r="D3">
        <f>ZonPaneel_Steca1800!D18</f>
        <v>0.21886549999999999</v>
      </c>
      <c r="E3" s="15" t="s">
        <v>75</v>
      </c>
      <c r="F3" s="16">
        <f>(B36-B16)/(0.001*M2)</f>
        <v>861.87563710499489</v>
      </c>
      <c r="I3" t="s">
        <v>17</v>
      </c>
      <c r="J3">
        <v>0</v>
      </c>
    </row>
    <row r="4" spans="1:15">
      <c r="A4" s="3">
        <v>42062</v>
      </c>
      <c r="B4">
        <v>8.64</v>
      </c>
      <c r="C4" s="1">
        <f t="shared" si="0"/>
        <v>1.89099792</v>
      </c>
      <c r="D4">
        <f>ZonPaneel_Steca1800!D19</f>
        <v>0.21886549999999999</v>
      </c>
      <c r="E4" s="15" t="s">
        <v>76</v>
      </c>
      <c r="F4" s="16">
        <f>(B42-B28)/(0.001*M2)</f>
        <v>863.11926605504584</v>
      </c>
      <c r="I4" t="s">
        <v>10</v>
      </c>
      <c r="J4">
        <v>20</v>
      </c>
    </row>
    <row r="5" spans="1:15">
      <c r="A5" s="3">
        <v>42064</v>
      </c>
      <c r="B5">
        <v>13.1</v>
      </c>
      <c r="C5" s="1">
        <f t="shared" si="0"/>
        <v>2.8671380499999999</v>
      </c>
      <c r="D5">
        <f>ZonPaneel_Steca1800!D20</f>
        <v>0.21886549999999999</v>
      </c>
      <c r="I5" t="s">
        <v>11</v>
      </c>
      <c r="J5">
        <f>J2+J3+J4</f>
        <v>2270</v>
      </c>
      <c r="K5" s="4">
        <f>J5/M2</f>
        <v>2.3139653414882773</v>
      </c>
      <c r="L5" s="5" t="s">
        <v>12</v>
      </c>
    </row>
    <row r="6" spans="1:15">
      <c r="A6" s="3">
        <v>42078</v>
      </c>
      <c r="B6">
        <v>44.27</v>
      </c>
      <c r="C6" s="1">
        <f t="shared" si="0"/>
        <v>9.6891756850000004</v>
      </c>
      <c r="D6">
        <f>ZonPaneel_Steca1800!D21</f>
        <v>0.21886549999999999</v>
      </c>
    </row>
    <row r="7" spans="1:15">
      <c r="A7" s="3">
        <v>42099</v>
      </c>
      <c r="B7">
        <v>94.26</v>
      </c>
      <c r="C7" s="1">
        <f t="shared" si="0"/>
        <v>20.630262030000001</v>
      </c>
      <c r="D7">
        <f>ZonPaneel_Steca1800!D22</f>
        <v>0.21886549999999999</v>
      </c>
      <c r="J7" s="6">
        <f>MAX(C:C)/J5</f>
        <v>0.18242703237973573</v>
      </c>
      <c r="K7" t="s">
        <v>13</v>
      </c>
      <c r="M7" t="s">
        <v>14</v>
      </c>
      <c r="N7" s="7">
        <f>1/J7*(MAX(A:A)-MIN(A:A))+MIN(A:A)</f>
        <v>46615.727591446695</v>
      </c>
    </row>
    <row r="8" spans="1:15">
      <c r="A8" s="3">
        <v>42109</v>
      </c>
      <c r="B8">
        <v>138.04</v>
      </c>
      <c r="C8" s="1">
        <f t="shared" si="0"/>
        <v>30.212193619999997</v>
      </c>
      <c r="D8">
        <f>ZonPaneel_Steca1800!D23</f>
        <v>0.21886549999999999</v>
      </c>
      <c r="M8" t="s">
        <v>15</v>
      </c>
      <c r="N8" s="8">
        <f>(N7-A2)/365</f>
        <v>12.49514408615533</v>
      </c>
      <c r="O8" s="9" t="s">
        <v>16</v>
      </c>
    </row>
    <row r="9" spans="1:15">
      <c r="A9" s="3">
        <v>42122</v>
      </c>
      <c r="B9">
        <v>197.52</v>
      </c>
      <c r="C9" s="1">
        <f t="shared" si="0"/>
        <v>43.230313559999999</v>
      </c>
      <c r="D9">
        <f>ZonPaneel_Steca1800!D24</f>
        <v>0.21886549999999999</v>
      </c>
    </row>
    <row r="10" spans="1:15">
      <c r="A10" s="3">
        <v>42125</v>
      </c>
      <c r="B10">
        <v>209.91</v>
      </c>
      <c r="C10" s="1">
        <f t="shared" si="0"/>
        <v>45.942057104999996</v>
      </c>
      <c r="D10">
        <f>ZonPaneel_Steca1800!D25</f>
        <v>0.21886549999999999</v>
      </c>
    </row>
    <row r="11" spans="1:15">
      <c r="A11" s="3">
        <v>42140</v>
      </c>
      <c r="B11">
        <v>280.86</v>
      </c>
      <c r="C11" s="1">
        <f t="shared" ref="C11:C18" si="1">(B11-B10)*D11+C10</f>
        <v>61.470564330000002</v>
      </c>
      <c r="D11">
        <f>ZonPaneel_Steca1800!D26</f>
        <v>0.21886549999999999</v>
      </c>
    </row>
    <row r="12" spans="1:15">
      <c r="A12" s="3">
        <v>42156</v>
      </c>
      <c r="B12">
        <v>343.3</v>
      </c>
      <c r="C12" s="1">
        <f t="shared" si="1"/>
        <v>75.136526150000009</v>
      </c>
      <c r="D12">
        <f>ZonPaneel_Steca1800!D27</f>
        <v>0.21886549999999999</v>
      </c>
    </row>
    <row r="13" spans="1:15">
      <c r="A13" s="3">
        <v>42169</v>
      </c>
      <c r="B13">
        <v>414.94</v>
      </c>
      <c r="C13" s="1">
        <f t="shared" si="1"/>
        <v>90.816050570000002</v>
      </c>
      <c r="D13">
        <f>ZonPaneel_Steca1800!D28</f>
        <v>0.21886549999999999</v>
      </c>
    </row>
    <row r="14" spans="1:15">
      <c r="A14" s="3">
        <v>42193</v>
      </c>
      <c r="B14">
        <v>528.29999999999995</v>
      </c>
      <c r="C14" s="1">
        <f t="shared" si="1"/>
        <v>115.248837442</v>
      </c>
      <c r="D14">
        <f>ZonPaneel_Steca1800!D29</f>
        <v>0.21553269999999997</v>
      </c>
    </row>
    <row r="15" spans="1:15">
      <c r="A15" s="3">
        <v>42203</v>
      </c>
      <c r="B15">
        <v>570</v>
      </c>
      <c r="C15" s="1">
        <f t="shared" si="1"/>
        <v>124.23655103200001</v>
      </c>
      <c r="D15">
        <f>ZonPaneel_Steca1800!D30</f>
        <v>0.21553269999999997</v>
      </c>
    </row>
    <row r="16" spans="1:15">
      <c r="A16" s="3">
        <v>42219</v>
      </c>
      <c r="B16">
        <v>633</v>
      </c>
      <c r="C16" s="1">
        <f t="shared" si="1"/>
        <v>137.815111132</v>
      </c>
      <c r="D16">
        <f>ZonPaneel_Steca1800!D31</f>
        <v>0.21553269999999997</v>
      </c>
    </row>
    <row r="17" spans="1:4">
      <c r="A17" s="3">
        <v>42232</v>
      </c>
      <c r="B17">
        <v>684</v>
      </c>
      <c r="C17" s="1">
        <f t="shared" si="1"/>
        <v>148.80727883200001</v>
      </c>
      <c r="D17">
        <f>ZonPaneel_Steca1800!D32</f>
        <v>0.21553269999999997</v>
      </c>
    </row>
    <row r="18" spans="1:4">
      <c r="A18" s="3">
        <v>42245</v>
      </c>
      <c r="B18">
        <v>726</v>
      </c>
      <c r="C18" s="1">
        <f t="shared" si="1"/>
        <v>157.859652232</v>
      </c>
      <c r="D18">
        <f>ZonPaneel_Steca1800!D33</f>
        <v>0.21553269999999997</v>
      </c>
    </row>
    <row r="19" spans="1:4">
      <c r="A19" s="3">
        <v>42284</v>
      </c>
      <c r="B19">
        <v>825.33</v>
      </c>
      <c r="C19" s="1">
        <f t="shared" ref="C19" si="2">(B19-B18)*D19+C18</f>
        <v>179.268515323</v>
      </c>
      <c r="D19">
        <f>ZonPaneel_Steca1800!D34</f>
        <v>0.21553269999999997</v>
      </c>
    </row>
    <row r="20" spans="1:4">
      <c r="A20" s="3">
        <v>42294</v>
      </c>
      <c r="B20">
        <v>836</v>
      </c>
      <c r="C20" s="1">
        <f t="shared" ref="C20" si="3">(B20-B19)*D20+C19</f>
        <v>181.568249232</v>
      </c>
      <c r="D20">
        <f>ZonPaneel_Steca1800!D35</f>
        <v>0.21553269999999997</v>
      </c>
    </row>
    <row r="21" spans="1:4">
      <c r="A21" s="3">
        <v>42309</v>
      </c>
      <c r="B21">
        <v>851.6</v>
      </c>
      <c r="C21" s="1">
        <f t="shared" ref="C21" si="4">(B21-B20)*D21+C20</f>
        <v>184.93055935200002</v>
      </c>
      <c r="D21">
        <f>ZonPaneel_Steca1800!D36</f>
        <v>0.21553269999999997</v>
      </c>
    </row>
    <row r="22" spans="1:4">
      <c r="A22" s="3">
        <v>42322</v>
      </c>
      <c r="B22">
        <v>859.8</v>
      </c>
      <c r="C22" s="1">
        <f t="shared" ref="C22" si="5">(B22-B21)*D22+C21</f>
        <v>186.69792749199999</v>
      </c>
      <c r="D22">
        <f>ZonPaneel_Steca1800!D37</f>
        <v>0.21553269999999997</v>
      </c>
    </row>
    <row r="23" spans="1:4">
      <c r="A23" s="3">
        <v>42358</v>
      </c>
      <c r="B23">
        <v>877</v>
      </c>
      <c r="C23" s="1">
        <f t="shared" ref="C23" si="6">(B23-B22)*D23+C22</f>
        <v>190.40508993200001</v>
      </c>
      <c r="D23">
        <f>ZonPaneel_Steca1800!D38</f>
        <v>0.21553269999999997</v>
      </c>
    </row>
    <row r="24" spans="1:4">
      <c r="A24" s="3">
        <v>42371</v>
      </c>
      <c r="B24">
        <v>883.38</v>
      </c>
      <c r="C24" s="1">
        <f t="shared" ref="C24" si="7">(B24-B23)*D24+C23</f>
        <v>191.61154729400002</v>
      </c>
      <c r="D24">
        <f>ZonPaneel_Steca1800!D39</f>
        <v>0.18909989999999999</v>
      </c>
    </row>
    <row r="25" spans="1:4">
      <c r="A25" s="3">
        <v>42386</v>
      </c>
      <c r="B25">
        <v>889.42</v>
      </c>
      <c r="C25" s="1">
        <f t="shared" ref="C25:C26" si="8">(B25-B24)*D25+C24</f>
        <v>192.75371069000002</v>
      </c>
      <c r="D25">
        <f>ZonPaneel_Steca1800!D40</f>
        <v>0.18909989999999999</v>
      </c>
    </row>
    <row r="26" spans="1:4">
      <c r="A26" s="3">
        <v>42403</v>
      </c>
      <c r="B26">
        <v>898.4</v>
      </c>
      <c r="C26" s="1">
        <f t="shared" si="8"/>
        <v>194.45182779200002</v>
      </c>
      <c r="D26">
        <f>ZonPaneel_Steca1800!D41</f>
        <v>0.18909989999999999</v>
      </c>
    </row>
    <row r="27" spans="1:4">
      <c r="A27" s="3">
        <v>42422</v>
      </c>
      <c r="B27">
        <v>918.4</v>
      </c>
      <c r="C27" s="1">
        <f t="shared" ref="C27:C28" si="9">(B27-B26)*D27+C26</f>
        <v>198.233825792</v>
      </c>
      <c r="D27">
        <f>ZonPaneel_Steca1800!D42</f>
        <v>0.18909989999999999</v>
      </c>
    </row>
    <row r="28" spans="1:4">
      <c r="A28" s="3">
        <f>ZonPaneel_Steca1800!A43</f>
        <v>42430</v>
      </c>
      <c r="B28">
        <v>933.38</v>
      </c>
      <c r="C28" s="1">
        <f t="shared" si="9"/>
        <v>201.06654229400002</v>
      </c>
      <c r="D28">
        <f>ZonPaneel_Steca1800!D43</f>
        <v>0.18909989999999999</v>
      </c>
    </row>
    <row r="29" spans="1:4">
      <c r="A29" s="3">
        <f>ZonPaneel_Steca1800!A44</f>
        <v>42444</v>
      </c>
      <c r="B29">
        <v>964.09</v>
      </c>
      <c r="C29" s="1">
        <f t="shared" ref="C29" si="10">(B29-B28)*D29+C28</f>
        <v>206.87380022300002</v>
      </c>
      <c r="D29">
        <f>ZonPaneel_Steca1800!D44</f>
        <v>0.18909989999999999</v>
      </c>
    </row>
    <row r="30" spans="1:4">
      <c r="A30" s="3">
        <f>ZonPaneel_Steca1800!A45</f>
        <v>42461</v>
      </c>
      <c r="B30">
        <v>1003.7</v>
      </c>
      <c r="C30" s="1">
        <f t="shared" ref="C30" si="11">(B30-B29)*D30+C29</f>
        <v>214.36404726200001</v>
      </c>
      <c r="D30">
        <f>ZonPaneel_Steca1800!D45</f>
        <v>0.18909989999999999</v>
      </c>
    </row>
    <row r="31" spans="1:4">
      <c r="A31" s="3">
        <f>ZonPaneel_Steca1800!A46</f>
        <v>42478</v>
      </c>
      <c r="B31">
        <v>1064.5999999999999</v>
      </c>
      <c r="C31" s="1">
        <f t="shared" ref="C31" si="12">(B31-B30)*D31+C30</f>
        <v>225.88023117199998</v>
      </c>
      <c r="D31">
        <f>ZonPaneel_Steca1800!D46</f>
        <v>0.18909989999999999</v>
      </c>
    </row>
    <row r="32" spans="1:4">
      <c r="A32" s="3">
        <f>ZonPaneel_Steca1800!A47</f>
        <v>42493</v>
      </c>
      <c r="B32">
        <v>1126.8</v>
      </c>
      <c r="C32" s="1">
        <f t="shared" ref="C32" si="13">(B32-B31)*D32+C31</f>
        <v>237.642244952</v>
      </c>
      <c r="D32">
        <f>ZonPaneel_Steca1800!D47</f>
        <v>0.18909989999999999</v>
      </c>
    </row>
    <row r="33" spans="1:15">
      <c r="A33" s="3">
        <f>ZonPaneel_Steca1800!A48</f>
        <v>42506</v>
      </c>
      <c r="B33">
        <v>1191.7</v>
      </c>
      <c r="C33" s="1">
        <f t="shared" ref="C33" si="14">(B33-B32)*D33+C32</f>
        <v>249.914828462</v>
      </c>
      <c r="D33">
        <f>ZonPaneel_Steca1800!D48</f>
        <v>0.18909989999999999</v>
      </c>
    </row>
    <row r="34" spans="1:15">
      <c r="A34" s="3">
        <f>ZonPaneel_Steca1800!A49</f>
        <v>42522</v>
      </c>
      <c r="B34">
        <v>1235.9000000000001</v>
      </c>
      <c r="C34" s="1">
        <f t="shared" ref="C34" si="15">(B34-B33)*D34+C33</f>
        <v>258.27304404200004</v>
      </c>
      <c r="D34">
        <f>ZonPaneel_Steca1800!D49</f>
        <v>0.18909989999999999</v>
      </c>
    </row>
    <row r="35" spans="1:15">
      <c r="A35" s="3">
        <f>ZonPaneel_Steca1800!A50</f>
        <v>42552</v>
      </c>
      <c r="B35">
        <v>1348.9</v>
      </c>
      <c r="C35" s="1">
        <f t="shared" ref="C35" si="16">(B35-B34)*D35+C34</f>
        <v>279.28069324200004</v>
      </c>
      <c r="D35">
        <f>ZonPaneel_Steca1800!D50</f>
        <v>0.18590839999999997</v>
      </c>
    </row>
    <row r="36" spans="1:15">
      <c r="A36" s="3">
        <f>ZonPaneel_Steca1800!A51</f>
        <v>42585</v>
      </c>
      <c r="B36">
        <v>1478.5</v>
      </c>
      <c r="C36" s="1">
        <f t="shared" ref="C36" si="17">(B36-B35)*D36+C35</f>
        <v>303.37442188200004</v>
      </c>
      <c r="D36">
        <f>ZonPaneel_Steca1800!D51</f>
        <v>0.18590839999999997</v>
      </c>
    </row>
    <row r="37" spans="1:15">
      <c r="A37" s="3">
        <f>ZonPaneel_Steca1800!A52</f>
        <v>42619</v>
      </c>
      <c r="B37">
        <v>1607.3</v>
      </c>
      <c r="C37" s="1">
        <f t="shared" ref="C37" si="18">(B37-B36)*D37+C36</f>
        <v>327.31942380200002</v>
      </c>
      <c r="D37">
        <f>ZonPaneel_Steca1800!D52</f>
        <v>0.18590839999999997</v>
      </c>
      <c r="L37" t="s">
        <v>18</v>
      </c>
      <c r="M37" t="s">
        <v>19</v>
      </c>
    </row>
    <row r="38" spans="1:15">
      <c r="A38" s="3">
        <f>ZonPaneel_Steca1800!A53</f>
        <v>42644</v>
      </c>
      <c r="B38">
        <v>1677.7</v>
      </c>
      <c r="C38" s="1">
        <f t="shared" ref="C38" si="19">(B38-B37)*D38+C37</f>
        <v>340.40737516200005</v>
      </c>
      <c r="D38">
        <f>ZonPaneel_Steca1800!D53</f>
        <v>0.18590839999999997</v>
      </c>
      <c r="G38" s="10" t="s">
        <v>20</v>
      </c>
      <c r="I38" t="s">
        <v>21</v>
      </c>
      <c r="L38" t="s">
        <v>22</v>
      </c>
      <c r="M38" t="s">
        <v>23</v>
      </c>
      <c r="O38" t="s">
        <v>24</v>
      </c>
    </row>
    <row r="39" spans="1:15">
      <c r="A39" s="3">
        <f>ZonPaneel_Steca1800!A54</f>
        <v>42675</v>
      </c>
      <c r="B39">
        <v>1713.2</v>
      </c>
      <c r="C39" s="1">
        <f t="shared" ref="C39" si="20">(B39-B38)*D39+C38</f>
        <v>347.00712336200007</v>
      </c>
      <c r="D39">
        <f>ZonPaneel_Steca1800!D54</f>
        <v>0.18590839999999997</v>
      </c>
      <c r="G39" s="10" t="s">
        <v>25</v>
      </c>
      <c r="I39" t="s">
        <v>26</v>
      </c>
      <c r="L39" t="s">
        <v>23</v>
      </c>
      <c r="M39" t="s">
        <v>22</v>
      </c>
    </row>
    <row r="40" spans="1:15">
      <c r="A40" s="3">
        <f>ZonPaneel_Steca1800!A55</f>
        <v>42746</v>
      </c>
      <c r="B40">
        <v>1744.6</v>
      </c>
      <c r="C40" s="1">
        <f t="shared" ref="C40" si="21">(B40-B39)*D40+C39</f>
        <v>352.77817332200004</v>
      </c>
      <c r="D40">
        <f>ZonPaneel_Steca1800!D55</f>
        <v>0.18379139999999999</v>
      </c>
      <c r="G40" s="10" t="s">
        <v>27</v>
      </c>
      <c r="I40" t="s">
        <v>28</v>
      </c>
      <c r="L40" t="s">
        <v>22</v>
      </c>
      <c r="M40" t="s">
        <v>22</v>
      </c>
    </row>
    <row r="41" spans="1:15">
      <c r="A41" s="3">
        <f>ZonPaneel_Steca1800!A56</f>
        <v>42767</v>
      </c>
      <c r="B41">
        <v>1757.3</v>
      </c>
      <c r="C41" s="1">
        <f t="shared" ref="C41" si="22">(B41-B40)*D41+C40</f>
        <v>355.11232410200006</v>
      </c>
      <c r="D41">
        <f>ZonPaneel_Steca1800!D56</f>
        <v>0.18379139999999999</v>
      </c>
      <c r="G41" s="10" t="s">
        <v>29</v>
      </c>
      <c r="I41" t="s">
        <v>30</v>
      </c>
      <c r="L41" t="s">
        <v>23</v>
      </c>
      <c r="M41" t="s">
        <v>23</v>
      </c>
    </row>
    <row r="42" spans="1:15">
      <c r="A42" s="3">
        <f>ZonPaneel_Steca1800!A57</f>
        <v>42795</v>
      </c>
      <c r="B42">
        <v>1780.1</v>
      </c>
      <c r="C42" s="1">
        <f t="shared" ref="C42" si="23">(B42-B41)*D42+C41</f>
        <v>359.30276802200007</v>
      </c>
      <c r="D42">
        <f>ZonPaneel_Steca1800!D57</f>
        <v>0.18379139999999999</v>
      </c>
      <c r="G42" s="11" t="s">
        <v>31</v>
      </c>
      <c r="I42" t="s">
        <v>32</v>
      </c>
      <c r="L42" t="s">
        <v>23</v>
      </c>
      <c r="M42" s="12" t="s">
        <v>22</v>
      </c>
    </row>
    <row r="43" spans="1:15">
      <c r="A43" s="3">
        <f>ZonPaneel_Steca1800!A58</f>
        <v>42826</v>
      </c>
      <c r="B43">
        <f>1869.3-2.43-3.14-3.23-4.32-1</f>
        <v>1855.1799999999998</v>
      </c>
      <c r="C43" s="1">
        <f t="shared" ref="C43" si="24">(B43-B42)*D43+C42</f>
        <v>373.10182633400007</v>
      </c>
      <c r="D43">
        <f>ZonPaneel_Steca1800!D58</f>
        <v>0.18379139999999999</v>
      </c>
      <c r="G43" s="11" t="s">
        <v>33</v>
      </c>
      <c r="I43" t="s">
        <v>34</v>
      </c>
      <c r="L43" t="s">
        <v>23</v>
      </c>
      <c r="M43" t="s">
        <v>22</v>
      </c>
    </row>
    <row r="44" spans="1:15">
      <c r="A44" s="3">
        <f>ZonPaneel_Steca1800!A59</f>
        <v>42887</v>
      </c>
      <c r="B44">
        <v>2078.3000000000002</v>
      </c>
      <c r="C44" s="1">
        <f t="shared" ref="C44" si="25">(B44-B43)*D44+C43</f>
        <v>414.10936350200012</v>
      </c>
      <c r="D44">
        <f>ZonPaneel_Steca1800!D59</f>
        <v>0.18379139999999999</v>
      </c>
      <c r="G44" s="11" t="s">
        <v>35</v>
      </c>
      <c r="I44" t="s">
        <v>36</v>
      </c>
      <c r="L44" t="s">
        <v>23</v>
      </c>
      <c r="M44" t="s">
        <v>22</v>
      </c>
    </row>
    <row r="45" spans="1:15">
      <c r="A45" s="3"/>
    </row>
    <row r="46" spans="1:15">
      <c r="A46" s="3"/>
    </row>
    <row r="47" spans="1:15">
      <c r="A47" s="3"/>
    </row>
    <row r="48" spans="1:15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</sheetData>
  <hyperlinks>
    <hyperlink ref="J1" r:id="rId1"/>
  </hyperlinks>
  <pageMargins left="0.75" right="0.75" top="1" bottom="1" header="0.5" footer="0.5"/>
  <pageSetup paperSize="9"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21"/>
  <sheetViews>
    <sheetView tabSelected="1" workbookViewId="0">
      <selection activeCell="D40" sqref="D40"/>
    </sheetView>
  </sheetViews>
  <sheetFormatPr baseColWidth="10" defaultColWidth="11.5" defaultRowHeight="14" x14ac:dyDescent="0"/>
  <cols>
    <col min="4" max="4" width="11.5" style="1"/>
  </cols>
  <sheetData>
    <row r="1" spans="1:16">
      <c r="A1" t="s">
        <v>0</v>
      </c>
      <c r="B1" t="s">
        <v>55</v>
      </c>
      <c r="C1" t="s">
        <v>39</v>
      </c>
      <c r="D1" s="1" t="s">
        <v>2</v>
      </c>
      <c r="E1" t="s">
        <v>3</v>
      </c>
      <c r="F1" t="s">
        <v>56</v>
      </c>
      <c r="G1" t="s">
        <v>54</v>
      </c>
      <c r="H1">
        <v>9950.5</v>
      </c>
      <c r="I1" t="s">
        <v>46</v>
      </c>
      <c r="J1" t="s">
        <v>4</v>
      </c>
      <c r="K1" s="2" t="s">
        <v>5</v>
      </c>
    </row>
    <row r="2" spans="1:16">
      <c r="A2" s="3">
        <v>42078</v>
      </c>
      <c r="B2">
        <v>0</v>
      </c>
      <c r="C2">
        <v>0</v>
      </c>
      <c r="D2" s="1">
        <v>0</v>
      </c>
      <c r="F2">
        <f>SUM(B2:C2)</f>
        <v>0</v>
      </c>
      <c r="G2" t="s">
        <v>53</v>
      </c>
      <c r="H2">
        <v>9504.4</v>
      </c>
      <c r="I2" t="s">
        <v>46</v>
      </c>
      <c r="J2" t="s">
        <v>6</v>
      </c>
      <c r="K2">
        <f>550</f>
        <v>550</v>
      </c>
      <c r="M2" t="s">
        <v>7</v>
      </c>
      <c r="N2">
        <f>15*125+3*190</f>
        <v>2445</v>
      </c>
      <c r="O2" t="s">
        <v>8</v>
      </c>
    </row>
    <row r="3" spans="1:16">
      <c r="A3" s="3">
        <v>42099</v>
      </c>
      <c r="B3">
        <f>9975.1-H1</f>
        <v>24.600000000000364</v>
      </c>
      <c r="C3">
        <f>9530.4-H2</f>
        <v>26</v>
      </c>
      <c r="D3" s="1">
        <f t="shared" ref="D3:D6" si="0">(C3-C2)*E3+D2</f>
        <v>5.6905029999999996</v>
      </c>
      <c r="E3">
        <f>ZonPaneel_Steca1800!D22</f>
        <v>0.21886549999999999</v>
      </c>
      <c r="F3">
        <f t="shared" ref="F3:F66" si="1">SUM(B3:C3)</f>
        <v>50.600000000000364</v>
      </c>
      <c r="J3" t="s">
        <v>17</v>
      </c>
      <c r="K3">
        <v>0</v>
      </c>
    </row>
    <row r="4" spans="1:16">
      <c r="A4" s="3">
        <v>42109</v>
      </c>
      <c r="B4">
        <f>9995-9950.5</f>
        <v>44.5</v>
      </c>
      <c r="C4">
        <f>9551.1-H2</f>
        <v>46.700000000000728</v>
      </c>
      <c r="D4" s="1">
        <f t="shared" si="0"/>
        <v>10.22101885000016</v>
      </c>
      <c r="E4">
        <f>ZonPaneel_Steca1800!D23</f>
        <v>0.21886549999999999</v>
      </c>
      <c r="F4">
        <f t="shared" si="1"/>
        <v>91.200000000000728</v>
      </c>
      <c r="G4" s="15" t="s">
        <v>73</v>
      </c>
      <c r="H4" s="16">
        <f>(F25-F2)/(0.001*N2)</f>
        <v>458.81390593047007</v>
      </c>
      <c r="J4" t="s">
        <v>10</v>
      </c>
      <c r="K4">
        <v>100</v>
      </c>
    </row>
    <row r="5" spans="1:16">
      <c r="A5" s="3">
        <v>42122</v>
      </c>
      <c r="B5">
        <f>10025.4-H1</f>
        <v>74.899999999999636</v>
      </c>
      <c r="C5">
        <f>9582.7-H2</f>
        <v>78.300000000001091</v>
      </c>
      <c r="D5" s="1">
        <f t="shared" si="0"/>
        <v>17.137168650000241</v>
      </c>
      <c r="E5">
        <f>ZonPaneel_Steca1800!D24</f>
        <v>0.21886549999999999</v>
      </c>
      <c r="F5">
        <f t="shared" si="1"/>
        <v>153.20000000000073</v>
      </c>
      <c r="G5" s="15" t="s">
        <v>75</v>
      </c>
      <c r="H5" s="16">
        <f>(F32-F12)/(0.001*N2)</f>
        <v>431.57464212678968</v>
      </c>
      <c r="J5" t="s">
        <v>11</v>
      </c>
      <c r="K5">
        <f>K2+K3+K4</f>
        <v>650</v>
      </c>
      <c r="L5" s="4">
        <f>K5/N2</f>
        <v>0.2658486707566462</v>
      </c>
      <c r="M5" s="5" t="s">
        <v>12</v>
      </c>
    </row>
    <row r="6" spans="1:16">
      <c r="A6" s="3">
        <v>42125</v>
      </c>
      <c r="B6">
        <f>10033.1-$H$1</f>
        <v>82.600000000000364</v>
      </c>
      <c r="C6">
        <f>9590.8-$H$2</f>
        <v>86.399999999999636</v>
      </c>
      <c r="D6" s="1">
        <f t="shared" si="0"/>
        <v>18.909979199999924</v>
      </c>
      <c r="E6">
        <f>ZonPaneel_Steca1800!D25</f>
        <v>0.21886549999999999</v>
      </c>
      <c r="F6">
        <f t="shared" si="1"/>
        <v>169</v>
      </c>
      <c r="G6" s="15" t="s">
        <v>76</v>
      </c>
      <c r="H6" s="16">
        <f>(F38-F24)/(0.001*N2)</f>
        <v>437.70961145194309</v>
      </c>
    </row>
    <row r="7" spans="1:16">
      <c r="A7" s="3">
        <v>42140</v>
      </c>
      <c r="B7">
        <f>10079.3-$H$1</f>
        <v>128.79999999999927</v>
      </c>
      <c r="C7">
        <f>9638.7-$H$2</f>
        <v>134.30000000000109</v>
      </c>
      <c r="D7" s="1">
        <f t="shared" ref="D7:D14" si="2">(C7-C6)*E7+D6</f>
        <v>29.393636650000243</v>
      </c>
      <c r="E7">
        <f>ZonPaneel_Steca1800!D26</f>
        <v>0.21886549999999999</v>
      </c>
      <c r="F7">
        <f t="shared" si="1"/>
        <v>263.10000000000036</v>
      </c>
      <c r="K7" s="6">
        <f>MAX(D:D)/K5</f>
        <v>0.39542418469230783</v>
      </c>
      <c r="L7" t="s">
        <v>13</v>
      </c>
      <c r="N7" t="s">
        <v>14</v>
      </c>
      <c r="O7" s="7">
        <f>1/K7*(MAX(A:A)-MIN(A:A))+MIN(A:A)</f>
        <v>44123.904199384036</v>
      </c>
    </row>
    <row r="8" spans="1:16">
      <c r="A8" s="3">
        <v>42156</v>
      </c>
      <c r="B8">
        <f>10128.2-H1</f>
        <v>177.70000000000073</v>
      </c>
      <c r="C8">
        <f>9689.6-H2</f>
        <v>185.20000000000073</v>
      </c>
      <c r="D8" s="1">
        <f t="shared" si="2"/>
        <v>40.533890600000163</v>
      </c>
      <c r="E8">
        <f>ZonPaneel_Steca1800!D27</f>
        <v>0.21886549999999999</v>
      </c>
      <c r="F8">
        <f t="shared" si="1"/>
        <v>362.90000000000146</v>
      </c>
      <c r="N8" t="s">
        <v>15</v>
      </c>
      <c r="O8" s="8">
        <f>(O7-A2)/365</f>
        <v>5.6052169846137989</v>
      </c>
      <c r="P8" s="9" t="s">
        <v>16</v>
      </c>
    </row>
    <row r="9" spans="1:16">
      <c r="A9" s="3">
        <v>42169</v>
      </c>
      <c r="B9">
        <f>10179.5-H1</f>
        <v>229</v>
      </c>
      <c r="C9">
        <f>9742.9-H2</f>
        <v>238.5</v>
      </c>
      <c r="D9" s="1">
        <f t="shared" si="2"/>
        <v>52.199421749999999</v>
      </c>
      <c r="E9">
        <f>ZonPaneel_Steca1800!D28</f>
        <v>0.21886549999999999</v>
      </c>
      <c r="F9">
        <f t="shared" si="1"/>
        <v>467.5</v>
      </c>
    </row>
    <row r="10" spans="1:16">
      <c r="A10" s="3">
        <v>42193</v>
      </c>
      <c r="B10">
        <f>10265.6-H1</f>
        <v>315.10000000000036</v>
      </c>
      <c r="C10">
        <f>9832.4-H2</f>
        <v>328</v>
      </c>
      <c r="D10" s="1">
        <f t="shared" si="2"/>
        <v>71.489598399999991</v>
      </c>
      <c r="E10">
        <f>ZonPaneel_Steca1800!D29</f>
        <v>0.21553269999999997</v>
      </c>
      <c r="F10">
        <f t="shared" si="1"/>
        <v>643.10000000000036</v>
      </c>
    </row>
    <row r="11" spans="1:16">
      <c r="A11" s="3">
        <v>42203</v>
      </c>
      <c r="B11">
        <f>10296.5-H1</f>
        <v>346</v>
      </c>
      <c r="C11">
        <f>9864.5-H2</f>
        <v>360.10000000000036</v>
      </c>
      <c r="D11" s="1">
        <f t="shared" si="2"/>
        <v>78.408198070000068</v>
      </c>
      <c r="E11">
        <f>ZonPaneel_Steca1800!D30</f>
        <v>0.21553269999999997</v>
      </c>
      <c r="F11">
        <f t="shared" si="1"/>
        <v>706.10000000000036</v>
      </c>
    </row>
    <row r="12" spans="1:16">
      <c r="A12" s="3">
        <v>42219</v>
      </c>
      <c r="B12">
        <f>10338.9-H1</f>
        <v>388.39999999999964</v>
      </c>
      <c r="C12">
        <f>9908.6-H2</f>
        <v>404.20000000000073</v>
      </c>
      <c r="D12" s="1">
        <f t="shared" si="2"/>
        <v>87.91319014000014</v>
      </c>
      <c r="E12">
        <f>ZonPaneel_Steca1800!D31</f>
        <v>0.21553269999999997</v>
      </c>
      <c r="F12">
        <f t="shared" si="1"/>
        <v>792.60000000000036</v>
      </c>
    </row>
    <row r="13" spans="1:16">
      <c r="A13" s="3">
        <v>42232</v>
      </c>
      <c r="B13">
        <f>10371.6-H1</f>
        <v>421.10000000000036</v>
      </c>
      <c r="C13">
        <f>9942.5-H2</f>
        <v>438.10000000000036</v>
      </c>
      <c r="D13" s="1">
        <f t="shared" si="2"/>
        <v>95.219748670000058</v>
      </c>
      <c r="E13">
        <f>ZonPaneel_Steca1800!D32</f>
        <v>0.21553269999999997</v>
      </c>
      <c r="F13">
        <f t="shared" si="1"/>
        <v>859.20000000000073</v>
      </c>
    </row>
    <row r="14" spans="1:16">
      <c r="A14" s="3">
        <v>42245</v>
      </c>
      <c r="B14">
        <f>10391.9-H1</f>
        <v>441.39999999999964</v>
      </c>
      <c r="C14">
        <f>9963.7-H2</f>
        <v>459.30000000000109</v>
      </c>
      <c r="D14" s="1">
        <f t="shared" si="2"/>
        <v>99.789041910000208</v>
      </c>
      <c r="E14">
        <f>ZonPaneel_Steca1800!D33</f>
        <v>0.21553269999999997</v>
      </c>
      <c r="F14">
        <f t="shared" si="1"/>
        <v>900.70000000000073</v>
      </c>
    </row>
    <row r="15" spans="1:16">
      <c r="A15" s="3">
        <v>42284</v>
      </c>
      <c r="B15">
        <f>10437.3-H1</f>
        <v>486.79999999999927</v>
      </c>
      <c r="C15">
        <f>10011.9-H2</f>
        <v>507.5</v>
      </c>
      <c r="D15" s="1">
        <f t="shared" ref="D15" si="3">(C15-C14)*E15+D14</f>
        <v>110.17771804999997</v>
      </c>
      <c r="E15">
        <f>ZonPaneel_Steca1800!D34</f>
        <v>0.21553269999999997</v>
      </c>
      <c r="F15">
        <f t="shared" si="1"/>
        <v>994.29999999999927</v>
      </c>
    </row>
    <row r="16" spans="1:16">
      <c r="A16" s="3">
        <v>42294</v>
      </c>
      <c r="B16">
        <f>10443.3-H1</f>
        <v>492.79999999999927</v>
      </c>
      <c r="C16">
        <f>10018.3-H2</f>
        <v>513.89999999999964</v>
      </c>
      <c r="D16" s="1">
        <f t="shared" ref="D16" si="4">(C16-C15)*E16+D15</f>
        <v>111.55712732999989</v>
      </c>
      <c r="E16">
        <f>ZonPaneel_Steca1800!D35</f>
        <v>0.21553269999999997</v>
      </c>
      <c r="F16">
        <f t="shared" si="1"/>
        <v>1006.6999999999989</v>
      </c>
    </row>
    <row r="17" spans="1:6">
      <c r="A17" s="3">
        <v>42309</v>
      </c>
      <c r="B17">
        <f>10450.9-H1</f>
        <v>500.39999999999964</v>
      </c>
      <c r="C17">
        <f>10026.6-H2</f>
        <v>522.20000000000073</v>
      </c>
      <c r="D17" s="1">
        <f t="shared" ref="D17" si="5">(C17-C16)*E17+D16</f>
        <v>113.34604874000013</v>
      </c>
      <c r="E17">
        <f>ZonPaneel_Steca1800!D36</f>
        <v>0.21553269999999997</v>
      </c>
      <c r="F17">
        <f t="shared" si="1"/>
        <v>1022.6000000000004</v>
      </c>
    </row>
    <row r="18" spans="1:6">
      <c r="A18" s="3">
        <v>42322</v>
      </c>
      <c r="B18">
        <f>10456.1-H1</f>
        <v>505.60000000000036</v>
      </c>
      <c r="C18">
        <f>10032.1-H2</f>
        <v>527.70000000000073</v>
      </c>
      <c r="D18" s="1">
        <f t="shared" ref="D18" si="6">(C18-C17)*E18+D17</f>
        <v>114.53147859000013</v>
      </c>
      <c r="E18">
        <f>ZonPaneel_Steca1800!D37</f>
        <v>0.21553269999999997</v>
      </c>
      <c r="F18">
        <f t="shared" ref="F18" si="7">SUM(B18:C18)</f>
        <v>1033.3000000000011</v>
      </c>
    </row>
    <row r="19" spans="1:6">
      <c r="A19" s="3">
        <v>42358</v>
      </c>
      <c r="B19">
        <f>10464.4-H1</f>
        <v>513.89999999999964</v>
      </c>
      <c r="C19">
        <f>10041.3-H2</f>
        <v>536.89999999999964</v>
      </c>
      <c r="D19" s="1">
        <f t="shared" ref="D19" si="8">(C19-C18)*E19+D18</f>
        <v>116.51437942999989</v>
      </c>
      <c r="E19">
        <f>ZonPaneel_Steca1800!D38</f>
        <v>0.21553269999999997</v>
      </c>
      <c r="F19">
        <f t="shared" si="1"/>
        <v>1050.7999999999993</v>
      </c>
    </row>
    <row r="20" spans="1:6">
      <c r="A20" s="3">
        <v>42371</v>
      </c>
      <c r="B20">
        <f>10467.1-H1</f>
        <v>516.60000000000036</v>
      </c>
      <c r="C20">
        <f>10044.3-H2</f>
        <v>539.89999999999964</v>
      </c>
      <c r="D20" s="1">
        <f t="shared" ref="D20:D22" si="9">(C20-C19)*E20+D19</f>
        <v>117.0816791299999</v>
      </c>
      <c r="E20">
        <f>ZonPaneel_Steca1800!D39</f>
        <v>0.18909989999999999</v>
      </c>
      <c r="F20">
        <f t="shared" si="1"/>
        <v>1056.5</v>
      </c>
    </row>
    <row r="21" spans="1:6">
      <c r="A21" s="3">
        <v>42386</v>
      </c>
      <c r="B21">
        <f>10470.2-H1</f>
        <v>519.70000000000073</v>
      </c>
      <c r="C21">
        <f>10047.6-H2</f>
        <v>543.20000000000073</v>
      </c>
      <c r="D21" s="1">
        <f t="shared" si="9"/>
        <v>117.70570880000011</v>
      </c>
      <c r="E21">
        <f>ZonPaneel_Steca1800!D40</f>
        <v>0.18909989999999999</v>
      </c>
      <c r="F21">
        <f t="shared" si="1"/>
        <v>1062.9000000000015</v>
      </c>
    </row>
    <row r="22" spans="1:6">
      <c r="A22" s="3">
        <v>42403</v>
      </c>
      <c r="B22">
        <f>10474.1-H1</f>
        <v>523.60000000000036</v>
      </c>
      <c r="C22">
        <f>10051.9-H2</f>
        <v>547.5</v>
      </c>
      <c r="D22" s="1">
        <f t="shared" si="9"/>
        <v>118.51883836999997</v>
      </c>
      <c r="E22">
        <f>ZonPaneel_Steca1800!D41</f>
        <v>0.18909989999999999</v>
      </c>
      <c r="F22">
        <f t="shared" si="1"/>
        <v>1071.1000000000004</v>
      </c>
    </row>
    <row r="23" spans="1:6">
      <c r="A23" s="3">
        <v>42422</v>
      </c>
      <c r="B23">
        <f>10482.3-H1</f>
        <v>531.79999999999927</v>
      </c>
      <c r="C23">
        <f>10060.8-H2</f>
        <v>556.39999999999964</v>
      </c>
      <c r="D23" s="1">
        <f t="shared" ref="D23:D24" si="10">(C23-C22)*E23+D22</f>
        <v>120.20182747999991</v>
      </c>
      <c r="E23">
        <f>ZonPaneel_Steca1800!D42</f>
        <v>0.18909989999999999</v>
      </c>
      <c r="F23">
        <f t="shared" si="1"/>
        <v>1088.1999999999989</v>
      </c>
    </row>
    <row r="24" spans="1:6">
      <c r="A24" s="3">
        <f>ZonPaneel_Steca1800!A43</f>
        <v>42430</v>
      </c>
      <c r="B24">
        <f>10486.9-H1</f>
        <v>536.39999999999964</v>
      </c>
      <c r="C24">
        <f>10065.8-H2</f>
        <v>561.39999999999964</v>
      </c>
      <c r="D24" s="1">
        <f t="shared" si="10"/>
        <v>121.1473269799999</v>
      </c>
      <c r="E24">
        <f>ZonPaneel_Steca1800!D43</f>
        <v>0.18909989999999999</v>
      </c>
      <c r="F24">
        <f t="shared" si="1"/>
        <v>1097.7999999999993</v>
      </c>
    </row>
    <row r="25" spans="1:6">
      <c r="A25" s="3">
        <f>ZonPaneel_Steca1800!A44</f>
        <v>42444</v>
      </c>
      <c r="B25">
        <f>10498.4-H1</f>
        <v>547.89999999999964</v>
      </c>
      <c r="C25">
        <f>10078.3-H2</f>
        <v>573.89999999999964</v>
      </c>
      <c r="D25" s="1">
        <f t="shared" ref="D25" si="11">(C25-C24)*E25+D24</f>
        <v>123.5110757299999</v>
      </c>
      <c r="E25">
        <f>ZonPaneel_Steca1800!D44</f>
        <v>0.18909989999999999</v>
      </c>
      <c r="F25">
        <f t="shared" ref="F25" si="12">SUM(B25:C25)</f>
        <v>1121.7999999999993</v>
      </c>
    </row>
    <row r="26" spans="1:6">
      <c r="A26" s="3">
        <f>ZonPaneel_Steca1800!A45</f>
        <v>42461</v>
      </c>
      <c r="B26">
        <f>10517.9-H1</f>
        <v>567.39999999999964</v>
      </c>
      <c r="C26">
        <f>10098.7-H2</f>
        <v>594.30000000000109</v>
      </c>
      <c r="D26" s="1">
        <f t="shared" ref="D26" si="13">(C26-C25)*E26+D25</f>
        <v>127.36871369000018</v>
      </c>
      <c r="E26">
        <f>ZonPaneel_Steca1800!D45</f>
        <v>0.18909989999999999</v>
      </c>
      <c r="F26">
        <f t="shared" ref="F26" si="14">SUM(B26:C26)</f>
        <v>1161.7000000000007</v>
      </c>
    </row>
    <row r="27" spans="1:6">
      <c r="A27" s="3">
        <f>ZonPaneel_Steca1800!A46</f>
        <v>42478</v>
      </c>
      <c r="B27">
        <f>10547.7-H1</f>
        <v>597.20000000000073</v>
      </c>
      <c r="C27">
        <f>10129.7-H2</f>
        <v>625.30000000000109</v>
      </c>
      <c r="D27" s="1">
        <f t="shared" ref="D27" si="15">(C27-C26)*E27+D26</f>
        <v>133.23081059000017</v>
      </c>
      <c r="E27">
        <f>ZonPaneel_Steca1800!D46</f>
        <v>0.18909989999999999</v>
      </c>
      <c r="F27">
        <f t="shared" ref="F27" si="16">SUM(B27:C27)</f>
        <v>1222.5000000000018</v>
      </c>
    </row>
    <row r="28" spans="1:6">
      <c r="A28" s="3">
        <f>ZonPaneel_Steca1800!A47</f>
        <v>42493</v>
      </c>
      <c r="B28">
        <f>10582.7-H1</f>
        <v>632.20000000000073</v>
      </c>
      <c r="C28">
        <f>10166.1-H2</f>
        <v>661.70000000000073</v>
      </c>
      <c r="D28" s="1">
        <f t="shared" ref="D28" si="17">(C28-C27)*E28+D27</f>
        <v>140.1140469500001</v>
      </c>
      <c r="E28">
        <f>ZonPaneel_Steca1800!D47</f>
        <v>0.18909989999999999</v>
      </c>
      <c r="F28">
        <f t="shared" ref="F28" si="18">SUM(B28:C28)</f>
        <v>1293.9000000000015</v>
      </c>
    </row>
    <row r="29" spans="1:6">
      <c r="A29" s="3">
        <f>ZonPaneel_Steca1800!A48</f>
        <v>42506</v>
      </c>
      <c r="B29">
        <f>10622.1-H1</f>
        <v>671.60000000000036</v>
      </c>
      <c r="C29">
        <f>10196.9-H2</f>
        <v>692.5</v>
      </c>
      <c r="D29" s="1">
        <f t="shared" ref="D29" si="19">(C29-C28)*E29+D28</f>
        <v>145.93832386999998</v>
      </c>
      <c r="E29">
        <f>ZonPaneel_Steca1800!D48</f>
        <v>0.18909989999999999</v>
      </c>
      <c r="F29">
        <f t="shared" ref="F29" si="20">SUM(B29:C29)</f>
        <v>1364.1000000000004</v>
      </c>
    </row>
    <row r="30" spans="1:6">
      <c r="A30" s="3">
        <f>ZonPaneel_Steca1800!A49</f>
        <v>42522</v>
      </c>
      <c r="B30">
        <f>10660.5-H1</f>
        <v>710</v>
      </c>
      <c r="C30">
        <f>10246.9-H2</f>
        <v>742.5</v>
      </c>
      <c r="D30" s="1">
        <f t="shared" ref="D30" si="21">(C30-C29)*E30+D29</f>
        <v>155.39331886999997</v>
      </c>
      <c r="E30">
        <f>ZonPaneel_Steca1800!D49</f>
        <v>0.18909989999999999</v>
      </c>
      <c r="F30">
        <f t="shared" ref="F30" si="22">SUM(B30:C30)</f>
        <v>1452.5</v>
      </c>
    </row>
    <row r="31" spans="1:6">
      <c r="A31" s="3">
        <f>ZonPaneel_Steca1800!A50</f>
        <v>42552</v>
      </c>
      <c r="B31">
        <f>10752.4-H1</f>
        <v>801.89999999999964</v>
      </c>
      <c r="C31">
        <f>10342.5-H2</f>
        <v>838.10000000000036</v>
      </c>
      <c r="D31" s="1">
        <f t="shared" ref="D31" si="23">(C31-C30)*E31+D30</f>
        <v>173.16616191000003</v>
      </c>
      <c r="E31">
        <f>ZonPaneel_Steca1800!D50</f>
        <v>0.18590839999999997</v>
      </c>
      <c r="F31">
        <f t="shared" ref="F31" si="24">SUM(B31:C31)</f>
        <v>1640</v>
      </c>
    </row>
    <row r="32" spans="1:6">
      <c r="A32" s="3">
        <f>ZonPaneel_Steca1800!A51</f>
        <v>42585</v>
      </c>
      <c r="B32">
        <f>10854.2-H1</f>
        <v>903.70000000000073</v>
      </c>
      <c r="C32">
        <f>10448.5-H2</f>
        <v>944.10000000000036</v>
      </c>
      <c r="D32" s="1">
        <f t="shared" ref="D32" si="25">(C32-C31)*E32+D31</f>
        <v>192.87245231000003</v>
      </c>
      <c r="E32">
        <f>ZonPaneel_Steca1800!D51</f>
        <v>0.18590839999999997</v>
      </c>
      <c r="F32">
        <f t="shared" ref="F32" si="26">SUM(B32:C32)</f>
        <v>1847.8000000000011</v>
      </c>
    </row>
    <row r="33" spans="1:16">
      <c r="A33" s="3">
        <f>ZonPaneel_Steca1800!A52</f>
        <v>42619</v>
      </c>
      <c r="B33">
        <f>10927.4-H1</f>
        <v>976.89999999999964</v>
      </c>
      <c r="C33">
        <f>10524.9-H2</f>
        <v>1020.5</v>
      </c>
      <c r="D33" s="1">
        <f t="shared" ref="D33" si="27">(C33-C32)*E33+D32</f>
        <v>207.07585406999996</v>
      </c>
      <c r="E33">
        <f>ZonPaneel_Steca1800!D52</f>
        <v>0.18590839999999997</v>
      </c>
      <c r="F33">
        <f t="shared" ref="F33" si="28">SUM(B33:C33)</f>
        <v>1997.3999999999996</v>
      </c>
    </row>
    <row r="34" spans="1:16">
      <c r="A34" s="3">
        <f>ZonPaneel_Steca1800!A53</f>
        <v>42644</v>
      </c>
      <c r="B34">
        <f>10954.6-H1</f>
        <v>1004.1000000000004</v>
      </c>
      <c r="C34">
        <f>10553.7-H2</f>
        <v>1049.3000000000011</v>
      </c>
      <c r="D34" s="1">
        <f t="shared" ref="D34" si="29">(C34-C33)*E34+D33</f>
        <v>212.43001599000016</v>
      </c>
      <c r="E34">
        <f>ZonPaneel_Steca1800!D53</f>
        <v>0.18590839999999997</v>
      </c>
      <c r="F34">
        <f t="shared" ref="F34" si="30">SUM(B34:C34)</f>
        <v>2053.4000000000015</v>
      </c>
    </row>
    <row r="35" spans="1:16">
      <c r="A35" s="3">
        <f>ZonPaneel_Steca1800!A54</f>
        <v>42675</v>
      </c>
      <c r="B35">
        <f>10974.2-H1</f>
        <v>1023.7000000000007</v>
      </c>
      <c r="C35">
        <f>10574.8-H2</f>
        <v>1070.3999999999996</v>
      </c>
      <c r="D35" s="1">
        <f t="shared" ref="D35" si="31">(C35-C34)*E35+D34</f>
        <v>216.35268322999988</v>
      </c>
      <c r="E35">
        <f>ZonPaneel_Steca1800!D54</f>
        <v>0.18590839999999997</v>
      </c>
      <c r="F35">
        <f t="shared" ref="F35" si="32">SUM(B35:C35)</f>
        <v>2094.1000000000004</v>
      </c>
    </row>
    <row r="36" spans="1:16">
      <c r="A36" s="3">
        <f>ZonPaneel_Steca1800!A55</f>
        <v>42746</v>
      </c>
      <c r="B36">
        <f>10991.3-H1</f>
        <v>1040.7999999999993</v>
      </c>
      <c r="C36">
        <f>10593.7-H2</f>
        <v>1089.3000000000011</v>
      </c>
      <c r="D36" s="1">
        <f t="shared" ref="D36" si="33">(C36-C35)*E36+D35</f>
        <v>219.82634069000014</v>
      </c>
      <c r="E36">
        <f>ZonPaneel_Steca1800!D55</f>
        <v>0.18379139999999999</v>
      </c>
      <c r="F36">
        <f t="shared" ref="F36" si="34">SUM(B36:C36)</f>
        <v>2130.1000000000004</v>
      </c>
    </row>
    <row r="37" spans="1:16">
      <c r="A37" s="3">
        <f>ZonPaneel_Steca1800!A56</f>
        <v>42767</v>
      </c>
      <c r="B37">
        <f>10996.7-H1</f>
        <v>1046.2000000000007</v>
      </c>
      <c r="C37">
        <f>10599.7-H2</f>
        <v>1095.3000000000011</v>
      </c>
      <c r="D37" s="1">
        <f t="shared" ref="D37" si="35">(C37-C36)*E37+D36</f>
        <v>220.92908909000013</v>
      </c>
      <c r="E37">
        <f>ZonPaneel_Steca1800!D56</f>
        <v>0.18379139999999999</v>
      </c>
      <c r="F37">
        <f t="shared" ref="F37" si="36">SUM(B37:C37)</f>
        <v>2141.5000000000018</v>
      </c>
      <c r="M37" t="s">
        <v>18</v>
      </c>
      <c r="N37" t="s">
        <v>19</v>
      </c>
    </row>
    <row r="38" spans="1:16">
      <c r="A38" s="3">
        <f>ZonPaneel_Steca1800!A57</f>
        <v>42795</v>
      </c>
      <c r="B38">
        <f>11009.5-H1</f>
        <v>1059</v>
      </c>
      <c r="C38">
        <f>10613.4-H2</f>
        <v>1109</v>
      </c>
      <c r="D38" s="1">
        <f t="shared" ref="D38" si="37">(C38-C37)*E38+D37</f>
        <v>223.44703126999994</v>
      </c>
      <c r="E38">
        <f>ZonPaneel_Steca1800!D57</f>
        <v>0.18379139999999999</v>
      </c>
      <c r="F38">
        <f t="shared" ref="F38" si="38">SUM(B38:C38)</f>
        <v>2168</v>
      </c>
      <c r="H38" s="10"/>
      <c r="P38" t="s">
        <v>24</v>
      </c>
    </row>
    <row r="39" spans="1:16">
      <c r="A39" s="3">
        <f>ZonPaneel_Steca1800!A58</f>
        <v>42826</v>
      </c>
      <c r="B39">
        <f>11039.7-H1</f>
        <v>1089.2000000000007</v>
      </c>
      <c r="C39">
        <f>10645.4-H2</f>
        <v>1141</v>
      </c>
      <c r="D39" s="1">
        <f t="shared" ref="D39:D40" si="39">(C39-C38)*E39+D38</f>
        <v>229.32835606999993</v>
      </c>
      <c r="E39">
        <f>ZonPaneel_Steca1800!D58</f>
        <v>0.18379139999999999</v>
      </c>
      <c r="F39">
        <f t="shared" ref="F39" si="40">SUM(B39:C39)</f>
        <v>2230.2000000000007</v>
      </c>
      <c r="H39" s="10"/>
    </row>
    <row r="40" spans="1:16">
      <c r="A40" s="3">
        <f>ZonPaneel_Steca1800!A59</f>
        <v>42887</v>
      </c>
      <c r="B40">
        <f>11185.6-H1</f>
        <v>1235.1000000000004</v>
      </c>
      <c r="C40">
        <f>10796.1-H2</f>
        <v>1291.7000000000007</v>
      </c>
      <c r="D40" s="1">
        <f t="shared" si="39"/>
        <v>257.02572005000007</v>
      </c>
      <c r="E40">
        <f>ZonPaneel_Steca1800!D59</f>
        <v>0.18379139999999999</v>
      </c>
      <c r="F40">
        <f t="shared" si="1"/>
        <v>2526.8000000000011</v>
      </c>
      <c r="H40" s="10"/>
    </row>
    <row r="41" spans="1:16">
      <c r="A41" s="3"/>
      <c r="F41">
        <f t="shared" si="1"/>
        <v>0</v>
      </c>
      <c r="H41" s="10"/>
    </row>
    <row r="42" spans="1:16">
      <c r="A42" s="3"/>
      <c r="F42">
        <f t="shared" si="1"/>
        <v>0</v>
      </c>
      <c r="H42" s="11"/>
      <c r="N42" s="12"/>
    </row>
    <row r="43" spans="1:16">
      <c r="A43" s="3"/>
      <c r="F43">
        <f t="shared" si="1"/>
        <v>0</v>
      </c>
      <c r="H43" s="11"/>
    </row>
    <row r="44" spans="1:16">
      <c r="A44" s="3"/>
      <c r="F44">
        <f t="shared" si="1"/>
        <v>0</v>
      </c>
      <c r="H44" s="11"/>
    </row>
    <row r="45" spans="1:16">
      <c r="A45" s="3"/>
      <c r="F45">
        <f t="shared" si="1"/>
        <v>0</v>
      </c>
    </row>
    <row r="46" spans="1:16">
      <c r="A46" s="3"/>
      <c r="F46">
        <f t="shared" si="1"/>
        <v>0</v>
      </c>
    </row>
    <row r="47" spans="1:16">
      <c r="A47" s="3"/>
      <c r="F47">
        <f t="shared" si="1"/>
        <v>0</v>
      </c>
    </row>
    <row r="48" spans="1:16">
      <c r="A48" s="3"/>
      <c r="F48">
        <f t="shared" si="1"/>
        <v>0</v>
      </c>
    </row>
    <row r="49" spans="1:6">
      <c r="A49" s="3"/>
      <c r="F49">
        <f t="shared" si="1"/>
        <v>0</v>
      </c>
    </row>
    <row r="50" spans="1:6">
      <c r="A50" s="3"/>
      <c r="F50">
        <f t="shared" si="1"/>
        <v>0</v>
      </c>
    </row>
    <row r="51" spans="1:6">
      <c r="A51" s="3"/>
      <c r="F51">
        <f t="shared" si="1"/>
        <v>0</v>
      </c>
    </row>
    <row r="52" spans="1:6">
      <c r="A52" s="3"/>
      <c r="F52">
        <f t="shared" si="1"/>
        <v>0</v>
      </c>
    </row>
    <row r="53" spans="1:6">
      <c r="A53" s="3"/>
      <c r="F53">
        <f t="shared" si="1"/>
        <v>0</v>
      </c>
    </row>
    <row r="54" spans="1:6">
      <c r="A54" s="3"/>
      <c r="F54">
        <f t="shared" si="1"/>
        <v>0</v>
      </c>
    </row>
    <row r="55" spans="1:6">
      <c r="A55" s="3"/>
      <c r="F55">
        <f t="shared" si="1"/>
        <v>0</v>
      </c>
    </row>
    <row r="56" spans="1:6">
      <c r="A56" s="3"/>
      <c r="F56">
        <f t="shared" si="1"/>
        <v>0</v>
      </c>
    </row>
    <row r="57" spans="1:6">
      <c r="A57" s="3"/>
      <c r="F57">
        <f t="shared" si="1"/>
        <v>0</v>
      </c>
    </row>
    <row r="58" spans="1:6">
      <c r="F58">
        <f t="shared" si="1"/>
        <v>0</v>
      </c>
    </row>
    <row r="59" spans="1:6">
      <c r="F59">
        <f t="shared" si="1"/>
        <v>0</v>
      </c>
    </row>
    <row r="60" spans="1:6">
      <c r="F60">
        <f t="shared" si="1"/>
        <v>0</v>
      </c>
    </row>
    <row r="61" spans="1:6">
      <c r="F61">
        <f t="shared" si="1"/>
        <v>0</v>
      </c>
    </row>
    <row r="62" spans="1:6">
      <c r="F62">
        <f t="shared" si="1"/>
        <v>0</v>
      </c>
    </row>
    <row r="63" spans="1:6">
      <c r="F63">
        <f t="shared" si="1"/>
        <v>0</v>
      </c>
    </row>
    <row r="64" spans="1:6">
      <c r="F64">
        <f t="shared" si="1"/>
        <v>0</v>
      </c>
    </row>
    <row r="65" spans="6:6">
      <c r="F65">
        <f t="shared" si="1"/>
        <v>0</v>
      </c>
    </row>
    <row r="66" spans="6:6">
      <c r="F66">
        <f t="shared" si="1"/>
        <v>0</v>
      </c>
    </row>
    <row r="67" spans="6:6">
      <c r="F67">
        <f t="shared" ref="F67:F130" si="41">SUM(B67:C67)</f>
        <v>0</v>
      </c>
    </row>
    <row r="68" spans="6:6">
      <c r="F68">
        <f t="shared" si="41"/>
        <v>0</v>
      </c>
    </row>
    <row r="69" spans="6:6">
      <c r="F69">
        <f t="shared" si="41"/>
        <v>0</v>
      </c>
    </row>
    <row r="70" spans="6:6">
      <c r="F70">
        <f t="shared" si="41"/>
        <v>0</v>
      </c>
    </row>
    <row r="71" spans="6:6">
      <c r="F71">
        <f t="shared" si="41"/>
        <v>0</v>
      </c>
    </row>
    <row r="72" spans="6:6">
      <c r="F72">
        <f t="shared" si="41"/>
        <v>0</v>
      </c>
    </row>
    <row r="73" spans="6:6">
      <c r="F73">
        <f t="shared" si="41"/>
        <v>0</v>
      </c>
    </row>
    <row r="74" spans="6:6">
      <c r="F74">
        <f t="shared" si="41"/>
        <v>0</v>
      </c>
    </row>
    <row r="75" spans="6:6">
      <c r="F75">
        <f t="shared" si="41"/>
        <v>0</v>
      </c>
    </row>
    <row r="76" spans="6:6">
      <c r="F76">
        <f t="shared" si="41"/>
        <v>0</v>
      </c>
    </row>
    <row r="77" spans="6:6">
      <c r="F77">
        <f t="shared" si="41"/>
        <v>0</v>
      </c>
    </row>
    <row r="78" spans="6:6">
      <c r="F78">
        <f t="shared" si="41"/>
        <v>0</v>
      </c>
    </row>
    <row r="79" spans="6:6">
      <c r="F79">
        <f t="shared" si="41"/>
        <v>0</v>
      </c>
    </row>
    <row r="80" spans="6:6">
      <c r="F80">
        <f t="shared" si="41"/>
        <v>0</v>
      </c>
    </row>
    <row r="81" spans="6:6">
      <c r="F81">
        <f t="shared" si="41"/>
        <v>0</v>
      </c>
    </row>
    <row r="82" spans="6:6">
      <c r="F82">
        <f t="shared" si="41"/>
        <v>0</v>
      </c>
    </row>
    <row r="83" spans="6:6">
      <c r="F83">
        <f t="shared" si="41"/>
        <v>0</v>
      </c>
    </row>
    <row r="84" spans="6:6">
      <c r="F84">
        <f t="shared" si="41"/>
        <v>0</v>
      </c>
    </row>
    <row r="85" spans="6:6">
      <c r="F85">
        <f t="shared" si="41"/>
        <v>0</v>
      </c>
    </row>
    <row r="86" spans="6:6">
      <c r="F86">
        <f t="shared" si="41"/>
        <v>0</v>
      </c>
    </row>
    <row r="87" spans="6:6">
      <c r="F87">
        <f t="shared" si="41"/>
        <v>0</v>
      </c>
    </row>
    <row r="88" spans="6:6">
      <c r="F88">
        <f t="shared" si="41"/>
        <v>0</v>
      </c>
    </row>
    <row r="89" spans="6:6">
      <c r="F89">
        <f t="shared" si="41"/>
        <v>0</v>
      </c>
    </row>
    <row r="90" spans="6:6">
      <c r="F90">
        <f t="shared" si="41"/>
        <v>0</v>
      </c>
    </row>
    <row r="91" spans="6:6">
      <c r="F91">
        <f t="shared" si="41"/>
        <v>0</v>
      </c>
    </row>
    <row r="92" spans="6:6">
      <c r="F92">
        <f t="shared" si="41"/>
        <v>0</v>
      </c>
    </row>
    <row r="93" spans="6:6">
      <c r="F93">
        <f t="shared" si="41"/>
        <v>0</v>
      </c>
    </row>
    <row r="94" spans="6:6">
      <c r="F94">
        <f t="shared" si="41"/>
        <v>0</v>
      </c>
    </row>
    <row r="95" spans="6:6">
      <c r="F95">
        <f t="shared" si="41"/>
        <v>0</v>
      </c>
    </row>
    <row r="96" spans="6:6">
      <c r="F96">
        <f t="shared" si="41"/>
        <v>0</v>
      </c>
    </row>
    <row r="97" spans="6:6">
      <c r="F97">
        <f t="shared" si="41"/>
        <v>0</v>
      </c>
    </row>
    <row r="98" spans="6:6">
      <c r="F98">
        <f t="shared" si="41"/>
        <v>0</v>
      </c>
    </row>
    <row r="99" spans="6:6">
      <c r="F99">
        <f t="shared" si="41"/>
        <v>0</v>
      </c>
    </row>
    <row r="100" spans="6:6">
      <c r="F100">
        <f t="shared" si="41"/>
        <v>0</v>
      </c>
    </row>
    <row r="101" spans="6:6">
      <c r="F101">
        <f t="shared" si="41"/>
        <v>0</v>
      </c>
    </row>
    <row r="102" spans="6:6">
      <c r="F102">
        <f t="shared" si="41"/>
        <v>0</v>
      </c>
    </row>
    <row r="103" spans="6:6">
      <c r="F103">
        <f t="shared" si="41"/>
        <v>0</v>
      </c>
    </row>
    <row r="104" spans="6:6">
      <c r="F104">
        <f t="shared" si="41"/>
        <v>0</v>
      </c>
    </row>
    <row r="105" spans="6:6">
      <c r="F105">
        <f t="shared" si="41"/>
        <v>0</v>
      </c>
    </row>
    <row r="106" spans="6:6">
      <c r="F106">
        <f t="shared" si="41"/>
        <v>0</v>
      </c>
    </row>
    <row r="107" spans="6:6">
      <c r="F107">
        <f t="shared" si="41"/>
        <v>0</v>
      </c>
    </row>
    <row r="108" spans="6:6">
      <c r="F108">
        <f t="shared" si="41"/>
        <v>0</v>
      </c>
    </row>
    <row r="109" spans="6:6">
      <c r="F109">
        <f t="shared" si="41"/>
        <v>0</v>
      </c>
    </row>
    <row r="110" spans="6:6">
      <c r="F110">
        <f t="shared" si="41"/>
        <v>0</v>
      </c>
    </row>
    <row r="111" spans="6:6">
      <c r="F111">
        <f t="shared" si="41"/>
        <v>0</v>
      </c>
    </row>
    <row r="112" spans="6:6">
      <c r="F112">
        <f t="shared" si="41"/>
        <v>0</v>
      </c>
    </row>
    <row r="113" spans="6:6">
      <c r="F113">
        <f t="shared" si="41"/>
        <v>0</v>
      </c>
    </row>
    <row r="114" spans="6:6">
      <c r="F114">
        <f t="shared" si="41"/>
        <v>0</v>
      </c>
    </row>
    <row r="115" spans="6:6">
      <c r="F115">
        <f t="shared" si="41"/>
        <v>0</v>
      </c>
    </row>
    <row r="116" spans="6:6">
      <c r="F116">
        <f t="shared" si="41"/>
        <v>0</v>
      </c>
    </row>
    <row r="117" spans="6:6">
      <c r="F117">
        <f t="shared" si="41"/>
        <v>0</v>
      </c>
    </row>
    <row r="118" spans="6:6">
      <c r="F118">
        <f t="shared" si="41"/>
        <v>0</v>
      </c>
    </row>
    <row r="119" spans="6:6">
      <c r="F119">
        <f t="shared" si="41"/>
        <v>0</v>
      </c>
    </row>
    <row r="120" spans="6:6">
      <c r="F120">
        <f t="shared" si="41"/>
        <v>0</v>
      </c>
    </row>
    <row r="121" spans="6:6">
      <c r="F121">
        <f t="shared" si="41"/>
        <v>0</v>
      </c>
    </row>
    <row r="122" spans="6:6">
      <c r="F122">
        <f t="shared" si="41"/>
        <v>0</v>
      </c>
    </row>
    <row r="123" spans="6:6">
      <c r="F123">
        <f t="shared" si="41"/>
        <v>0</v>
      </c>
    </row>
    <row r="124" spans="6:6">
      <c r="F124">
        <f t="shared" si="41"/>
        <v>0</v>
      </c>
    </row>
    <row r="125" spans="6:6">
      <c r="F125">
        <f t="shared" si="41"/>
        <v>0</v>
      </c>
    </row>
    <row r="126" spans="6:6">
      <c r="F126">
        <f t="shared" si="41"/>
        <v>0</v>
      </c>
    </row>
    <row r="127" spans="6:6">
      <c r="F127">
        <f t="shared" si="41"/>
        <v>0</v>
      </c>
    </row>
    <row r="128" spans="6:6">
      <c r="F128">
        <f t="shared" si="41"/>
        <v>0</v>
      </c>
    </row>
    <row r="129" spans="6:6">
      <c r="F129">
        <f t="shared" si="41"/>
        <v>0</v>
      </c>
    </row>
    <row r="130" spans="6:6">
      <c r="F130">
        <f t="shared" si="41"/>
        <v>0</v>
      </c>
    </row>
    <row r="131" spans="6:6">
      <c r="F131">
        <f t="shared" ref="F131:F194" si="42">SUM(B131:C131)</f>
        <v>0</v>
      </c>
    </row>
    <row r="132" spans="6:6">
      <c r="F132">
        <f t="shared" si="42"/>
        <v>0</v>
      </c>
    </row>
    <row r="133" spans="6:6">
      <c r="F133">
        <f t="shared" si="42"/>
        <v>0</v>
      </c>
    </row>
    <row r="134" spans="6:6">
      <c r="F134">
        <f t="shared" si="42"/>
        <v>0</v>
      </c>
    </row>
    <row r="135" spans="6:6">
      <c r="F135">
        <f t="shared" si="42"/>
        <v>0</v>
      </c>
    </row>
    <row r="136" spans="6:6">
      <c r="F136">
        <f t="shared" si="42"/>
        <v>0</v>
      </c>
    </row>
    <row r="137" spans="6:6">
      <c r="F137">
        <f t="shared" si="42"/>
        <v>0</v>
      </c>
    </row>
    <row r="138" spans="6:6">
      <c r="F138">
        <f t="shared" si="42"/>
        <v>0</v>
      </c>
    </row>
    <row r="139" spans="6:6">
      <c r="F139">
        <f t="shared" si="42"/>
        <v>0</v>
      </c>
    </row>
    <row r="140" spans="6:6">
      <c r="F140">
        <f t="shared" si="42"/>
        <v>0</v>
      </c>
    </row>
    <row r="141" spans="6:6">
      <c r="F141">
        <f t="shared" si="42"/>
        <v>0</v>
      </c>
    </row>
    <row r="142" spans="6:6">
      <c r="F142">
        <f t="shared" si="42"/>
        <v>0</v>
      </c>
    </row>
    <row r="143" spans="6:6">
      <c r="F143">
        <f t="shared" si="42"/>
        <v>0</v>
      </c>
    </row>
    <row r="144" spans="6:6">
      <c r="F144">
        <f t="shared" si="42"/>
        <v>0</v>
      </c>
    </row>
    <row r="145" spans="6:6">
      <c r="F145">
        <f t="shared" si="42"/>
        <v>0</v>
      </c>
    </row>
    <row r="146" spans="6:6">
      <c r="F146">
        <f t="shared" si="42"/>
        <v>0</v>
      </c>
    </row>
    <row r="147" spans="6:6">
      <c r="F147">
        <f t="shared" si="42"/>
        <v>0</v>
      </c>
    </row>
    <row r="148" spans="6:6">
      <c r="F148">
        <f t="shared" si="42"/>
        <v>0</v>
      </c>
    </row>
    <row r="149" spans="6:6">
      <c r="F149">
        <f t="shared" si="42"/>
        <v>0</v>
      </c>
    </row>
    <row r="150" spans="6:6">
      <c r="F150">
        <f t="shared" si="42"/>
        <v>0</v>
      </c>
    </row>
    <row r="151" spans="6:6">
      <c r="F151">
        <f t="shared" si="42"/>
        <v>0</v>
      </c>
    </row>
    <row r="152" spans="6:6">
      <c r="F152">
        <f t="shared" si="42"/>
        <v>0</v>
      </c>
    </row>
    <row r="153" spans="6:6">
      <c r="F153">
        <f t="shared" si="42"/>
        <v>0</v>
      </c>
    </row>
    <row r="154" spans="6:6">
      <c r="F154">
        <f t="shared" si="42"/>
        <v>0</v>
      </c>
    </row>
    <row r="155" spans="6:6">
      <c r="F155">
        <f t="shared" si="42"/>
        <v>0</v>
      </c>
    </row>
    <row r="156" spans="6:6">
      <c r="F156">
        <f t="shared" si="42"/>
        <v>0</v>
      </c>
    </row>
    <row r="157" spans="6:6">
      <c r="F157">
        <f t="shared" si="42"/>
        <v>0</v>
      </c>
    </row>
    <row r="158" spans="6:6">
      <c r="F158">
        <f t="shared" si="42"/>
        <v>0</v>
      </c>
    </row>
    <row r="159" spans="6:6">
      <c r="F159">
        <f t="shared" si="42"/>
        <v>0</v>
      </c>
    </row>
    <row r="160" spans="6:6">
      <c r="F160">
        <f t="shared" si="42"/>
        <v>0</v>
      </c>
    </row>
    <row r="161" spans="6:6">
      <c r="F161">
        <f t="shared" si="42"/>
        <v>0</v>
      </c>
    </row>
    <row r="162" spans="6:6">
      <c r="F162">
        <f t="shared" si="42"/>
        <v>0</v>
      </c>
    </row>
    <row r="163" spans="6:6">
      <c r="F163">
        <f t="shared" si="42"/>
        <v>0</v>
      </c>
    </row>
    <row r="164" spans="6:6">
      <c r="F164">
        <f t="shared" si="42"/>
        <v>0</v>
      </c>
    </row>
    <row r="165" spans="6:6">
      <c r="F165">
        <f t="shared" si="42"/>
        <v>0</v>
      </c>
    </row>
    <row r="166" spans="6:6">
      <c r="F166">
        <f t="shared" si="42"/>
        <v>0</v>
      </c>
    </row>
    <row r="167" spans="6:6">
      <c r="F167">
        <f t="shared" si="42"/>
        <v>0</v>
      </c>
    </row>
    <row r="168" spans="6:6">
      <c r="F168">
        <f t="shared" si="42"/>
        <v>0</v>
      </c>
    </row>
    <row r="169" spans="6:6">
      <c r="F169">
        <f t="shared" si="42"/>
        <v>0</v>
      </c>
    </row>
    <row r="170" spans="6:6">
      <c r="F170">
        <f t="shared" si="42"/>
        <v>0</v>
      </c>
    </row>
    <row r="171" spans="6:6">
      <c r="F171">
        <f t="shared" si="42"/>
        <v>0</v>
      </c>
    </row>
    <row r="172" spans="6:6">
      <c r="F172">
        <f t="shared" si="42"/>
        <v>0</v>
      </c>
    </row>
    <row r="173" spans="6:6">
      <c r="F173">
        <f t="shared" si="42"/>
        <v>0</v>
      </c>
    </row>
    <row r="174" spans="6:6">
      <c r="F174">
        <f t="shared" si="42"/>
        <v>0</v>
      </c>
    </row>
    <row r="175" spans="6:6">
      <c r="F175">
        <f t="shared" si="42"/>
        <v>0</v>
      </c>
    </row>
    <row r="176" spans="6:6">
      <c r="F176">
        <f t="shared" si="42"/>
        <v>0</v>
      </c>
    </row>
    <row r="177" spans="6:6">
      <c r="F177">
        <f t="shared" si="42"/>
        <v>0</v>
      </c>
    </row>
    <row r="178" spans="6:6">
      <c r="F178">
        <f t="shared" si="42"/>
        <v>0</v>
      </c>
    </row>
    <row r="179" spans="6:6">
      <c r="F179">
        <f t="shared" si="42"/>
        <v>0</v>
      </c>
    </row>
    <row r="180" spans="6:6">
      <c r="F180">
        <f t="shared" si="42"/>
        <v>0</v>
      </c>
    </row>
    <row r="181" spans="6:6">
      <c r="F181">
        <f t="shared" si="42"/>
        <v>0</v>
      </c>
    </row>
    <row r="182" spans="6:6">
      <c r="F182">
        <f t="shared" si="42"/>
        <v>0</v>
      </c>
    </row>
    <row r="183" spans="6:6">
      <c r="F183">
        <f t="shared" si="42"/>
        <v>0</v>
      </c>
    </row>
    <row r="184" spans="6:6">
      <c r="F184">
        <f t="shared" si="42"/>
        <v>0</v>
      </c>
    </row>
    <row r="185" spans="6:6">
      <c r="F185">
        <f t="shared" si="42"/>
        <v>0</v>
      </c>
    </row>
    <row r="186" spans="6:6">
      <c r="F186">
        <f t="shared" si="42"/>
        <v>0</v>
      </c>
    </row>
    <row r="187" spans="6:6">
      <c r="F187">
        <f t="shared" si="42"/>
        <v>0</v>
      </c>
    </row>
    <row r="188" spans="6:6">
      <c r="F188">
        <f t="shared" si="42"/>
        <v>0</v>
      </c>
    </row>
    <row r="189" spans="6:6">
      <c r="F189">
        <f t="shared" si="42"/>
        <v>0</v>
      </c>
    </row>
    <row r="190" spans="6:6">
      <c r="F190">
        <f t="shared" si="42"/>
        <v>0</v>
      </c>
    </row>
    <row r="191" spans="6:6">
      <c r="F191">
        <f t="shared" si="42"/>
        <v>0</v>
      </c>
    </row>
    <row r="192" spans="6:6">
      <c r="F192">
        <f t="shared" si="42"/>
        <v>0</v>
      </c>
    </row>
    <row r="193" spans="6:6">
      <c r="F193">
        <f t="shared" si="42"/>
        <v>0</v>
      </c>
    </row>
    <row r="194" spans="6:6">
      <c r="F194">
        <f t="shared" si="42"/>
        <v>0</v>
      </c>
    </row>
    <row r="195" spans="6:6">
      <c r="F195">
        <f t="shared" ref="F195:F221" si="43">SUM(B195:C195)</f>
        <v>0</v>
      </c>
    </row>
    <row r="196" spans="6:6">
      <c r="F196">
        <f t="shared" si="43"/>
        <v>0</v>
      </c>
    </row>
    <row r="197" spans="6:6">
      <c r="F197">
        <f t="shared" si="43"/>
        <v>0</v>
      </c>
    </row>
    <row r="198" spans="6:6">
      <c r="F198">
        <f t="shared" si="43"/>
        <v>0</v>
      </c>
    </row>
    <row r="199" spans="6:6">
      <c r="F199">
        <f t="shared" si="43"/>
        <v>0</v>
      </c>
    </row>
    <row r="200" spans="6:6">
      <c r="F200">
        <f t="shared" si="43"/>
        <v>0</v>
      </c>
    </row>
    <row r="201" spans="6:6">
      <c r="F201">
        <f t="shared" si="43"/>
        <v>0</v>
      </c>
    </row>
    <row r="202" spans="6:6">
      <c r="F202">
        <f t="shared" si="43"/>
        <v>0</v>
      </c>
    </row>
    <row r="203" spans="6:6">
      <c r="F203">
        <f t="shared" si="43"/>
        <v>0</v>
      </c>
    </row>
    <row r="204" spans="6:6">
      <c r="F204">
        <f t="shared" si="43"/>
        <v>0</v>
      </c>
    </row>
    <row r="205" spans="6:6">
      <c r="F205">
        <f t="shared" si="43"/>
        <v>0</v>
      </c>
    </row>
    <row r="206" spans="6:6">
      <c r="F206">
        <f t="shared" si="43"/>
        <v>0</v>
      </c>
    </row>
    <row r="207" spans="6:6">
      <c r="F207">
        <f t="shared" si="43"/>
        <v>0</v>
      </c>
    </row>
    <row r="208" spans="6:6">
      <c r="F208">
        <f t="shared" si="43"/>
        <v>0</v>
      </c>
    </row>
    <row r="209" spans="6:6">
      <c r="F209">
        <f t="shared" si="43"/>
        <v>0</v>
      </c>
    </row>
    <row r="210" spans="6:6">
      <c r="F210">
        <f t="shared" si="43"/>
        <v>0</v>
      </c>
    </row>
    <row r="211" spans="6:6">
      <c r="F211">
        <f t="shared" si="43"/>
        <v>0</v>
      </c>
    </row>
    <row r="212" spans="6:6">
      <c r="F212">
        <f t="shared" si="43"/>
        <v>0</v>
      </c>
    </row>
    <row r="213" spans="6:6">
      <c r="F213">
        <f t="shared" si="43"/>
        <v>0</v>
      </c>
    </row>
    <row r="214" spans="6:6">
      <c r="F214">
        <f t="shared" si="43"/>
        <v>0</v>
      </c>
    </row>
    <row r="215" spans="6:6">
      <c r="F215">
        <f t="shared" si="43"/>
        <v>0</v>
      </c>
    </row>
    <row r="216" spans="6:6">
      <c r="F216">
        <f t="shared" si="43"/>
        <v>0</v>
      </c>
    </row>
    <row r="217" spans="6:6">
      <c r="F217">
        <f t="shared" si="43"/>
        <v>0</v>
      </c>
    </row>
    <row r="218" spans="6:6">
      <c r="F218">
        <f t="shared" si="43"/>
        <v>0</v>
      </c>
    </row>
    <row r="219" spans="6:6">
      <c r="F219">
        <f t="shared" si="43"/>
        <v>0</v>
      </c>
    </row>
    <row r="220" spans="6:6">
      <c r="F220">
        <f t="shared" si="43"/>
        <v>0</v>
      </c>
    </row>
    <row r="221" spans="6:6">
      <c r="F221">
        <f t="shared" si="43"/>
        <v>0</v>
      </c>
    </row>
  </sheetData>
  <hyperlinks>
    <hyperlink ref="K1" r:id="rId1"/>
  </hyperlinks>
  <pageMargins left="0.75" right="0.75" top="1" bottom="1" header="0.5" footer="0.5"/>
  <pageSetup paperSize="9" orientation="portrait" horizontalDpi="4294967292" verticalDpi="4294967292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workbookViewId="0">
      <selection activeCell="O25" sqref="O25"/>
    </sheetView>
  </sheetViews>
  <sheetFormatPr baseColWidth="10" defaultColWidth="8.83203125" defaultRowHeight="14" x14ac:dyDescent="0"/>
  <cols>
    <col min="5" max="5" width="8.83203125" style="9"/>
  </cols>
  <sheetData>
    <row r="1" spans="1:16">
      <c r="A1" t="s">
        <v>40</v>
      </c>
    </row>
    <row r="3" spans="1:16">
      <c r="A3" t="s">
        <v>41</v>
      </c>
    </row>
    <row r="4" spans="1:16">
      <c r="A4" t="s">
        <v>42</v>
      </c>
      <c r="B4" t="s">
        <v>43</v>
      </c>
      <c r="C4" t="s">
        <v>48</v>
      </c>
      <c r="E4" s="9" t="s">
        <v>44</v>
      </c>
      <c r="F4" s="9" t="s">
        <v>44</v>
      </c>
    </row>
    <row r="5" spans="1:16">
      <c r="A5" s="17">
        <v>0.170138888888891</v>
      </c>
      <c r="B5">
        <v>0</v>
      </c>
      <c r="C5">
        <v>0</v>
      </c>
      <c r="F5" s="9"/>
    </row>
    <row r="6" spans="1:16">
      <c r="A6" s="17">
        <v>0.17708333333333501</v>
      </c>
      <c r="B6">
        <v>0</v>
      </c>
      <c r="C6">
        <v>0</v>
      </c>
      <c r="E6" s="9">
        <f>AVERAGE(B5:B6)*1/6</f>
        <v>0</v>
      </c>
      <c r="F6" s="9">
        <f>AVERAGE(C5:C6)*1/6</f>
        <v>0</v>
      </c>
    </row>
    <row r="7" spans="1:16">
      <c r="A7" s="17">
        <v>0.18402777777777901</v>
      </c>
      <c r="B7">
        <v>0</v>
      </c>
      <c r="C7">
        <v>0</v>
      </c>
      <c r="E7" s="9">
        <f t="shared" ref="E7:F70" si="0">AVERAGE(B6:B7)*1/6</f>
        <v>0</v>
      </c>
      <c r="F7" s="9">
        <f t="shared" si="0"/>
        <v>0</v>
      </c>
    </row>
    <row r="8" spans="1:16">
      <c r="A8" s="17">
        <v>0.19097222222222299</v>
      </c>
      <c r="B8">
        <v>0</v>
      </c>
      <c r="C8">
        <v>0</v>
      </c>
      <c r="E8" s="9">
        <f t="shared" si="0"/>
        <v>0</v>
      </c>
      <c r="F8" s="9">
        <f t="shared" si="0"/>
        <v>0</v>
      </c>
    </row>
    <row r="9" spans="1:16">
      <c r="A9" s="17">
        <v>0.19791666666666699</v>
      </c>
      <c r="B9">
        <v>0</v>
      </c>
      <c r="C9">
        <v>0</v>
      </c>
      <c r="E9" s="9">
        <f t="shared" si="0"/>
        <v>0</v>
      </c>
      <c r="F9" s="9">
        <f t="shared" si="0"/>
        <v>0</v>
      </c>
    </row>
    <row r="10" spans="1:16">
      <c r="A10" s="17">
        <v>0.20486111111111099</v>
      </c>
      <c r="B10">
        <v>0</v>
      </c>
      <c r="C10">
        <v>0</v>
      </c>
      <c r="E10" s="9">
        <f t="shared" si="0"/>
        <v>0</v>
      </c>
      <c r="F10" s="9">
        <f t="shared" si="0"/>
        <v>0</v>
      </c>
    </row>
    <row r="11" spans="1:16">
      <c r="A11" s="17">
        <v>0.211805555555556</v>
      </c>
      <c r="B11">
        <v>0</v>
      </c>
      <c r="C11">
        <v>0</v>
      </c>
      <c r="E11" s="9">
        <f t="shared" si="0"/>
        <v>0</v>
      </c>
      <c r="F11" s="9">
        <f t="shared" si="0"/>
        <v>0</v>
      </c>
    </row>
    <row r="12" spans="1:16">
      <c r="A12" s="17">
        <v>0.21875</v>
      </c>
      <c r="B12">
        <v>0</v>
      </c>
      <c r="C12">
        <v>0</v>
      </c>
      <c r="E12" s="9">
        <f t="shared" si="0"/>
        <v>0</v>
      </c>
      <c r="F12" s="9">
        <f t="shared" si="0"/>
        <v>0</v>
      </c>
    </row>
    <row r="13" spans="1:16">
      <c r="A13" s="17">
        <v>0.225694444444445</v>
      </c>
      <c r="B13">
        <v>0</v>
      </c>
      <c r="C13">
        <v>0</v>
      </c>
      <c r="E13" s="9">
        <f t="shared" si="0"/>
        <v>0</v>
      </c>
      <c r="F13" s="9">
        <f t="shared" si="0"/>
        <v>0</v>
      </c>
    </row>
    <row r="14" spans="1:16">
      <c r="A14" s="17">
        <v>0.23263888888888901</v>
      </c>
      <c r="B14">
        <v>0</v>
      </c>
      <c r="C14">
        <v>0</v>
      </c>
      <c r="E14" s="9">
        <f t="shared" si="0"/>
        <v>0</v>
      </c>
      <c r="F14" s="9">
        <f t="shared" si="0"/>
        <v>0</v>
      </c>
    </row>
    <row r="15" spans="1:16">
      <c r="A15" s="17">
        <v>0.23958333333333301</v>
      </c>
      <c r="B15">
        <v>0</v>
      </c>
      <c r="C15">
        <v>0</v>
      </c>
      <c r="E15" s="9">
        <f t="shared" si="0"/>
        <v>0</v>
      </c>
      <c r="F15" s="9">
        <f t="shared" si="0"/>
        <v>0</v>
      </c>
    </row>
    <row r="16" spans="1:16">
      <c r="A16" s="17">
        <v>0.24652777777777801</v>
      </c>
      <c r="B16">
        <v>0</v>
      </c>
      <c r="C16">
        <v>0</v>
      </c>
      <c r="E16" s="9">
        <f t="shared" si="0"/>
        <v>0</v>
      </c>
      <c r="F16" s="9">
        <f t="shared" si="0"/>
        <v>0</v>
      </c>
      <c r="P16" s="17"/>
    </row>
    <row r="17" spans="1:13">
      <c r="A17" s="17">
        <v>0.25347222222222199</v>
      </c>
      <c r="B17">
        <v>0</v>
      </c>
      <c r="C17">
        <v>0</v>
      </c>
      <c r="E17" s="9">
        <f t="shared" si="0"/>
        <v>0</v>
      </c>
      <c r="F17" s="9">
        <f t="shared" si="0"/>
        <v>0</v>
      </c>
    </row>
    <row r="18" spans="1:13">
      <c r="A18" s="17">
        <v>0.26041666666666702</v>
      </c>
      <c r="B18">
        <v>0</v>
      </c>
      <c r="C18">
        <v>0</v>
      </c>
      <c r="E18" s="9">
        <f t="shared" si="0"/>
        <v>0</v>
      </c>
      <c r="F18" s="9">
        <f t="shared" si="0"/>
        <v>0</v>
      </c>
    </row>
    <row r="19" spans="1:13">
      <c r="A19" s="17">
        <v>0.26736111111111099</v>
      </c>
      <c r="B19">
        <v>0</v>
      </c>
      <c r="C19">
        <v>0</v>
      </c>
      <c r="E19" s="9">
        <f t="shared" si="0"/>
        <v>0</v>
      </c>
      <c r="F19" s="9">
        <f t="shared" si="0"/>
        <v>0</v>
      </c>
    </row>
    <row r="20" spans="1:13">
      <c r="A20" s="17">
        <v>0.27430555555555602</v>
      </c>
      <c r="B20">
        <v>0</v>
      </c>
      <c r="C20">
        <v>0</v>
      </c>
      <c r="E20" s="9">
        <f t="shared" si="0"/>
        <v>0</v>
      </c>
      <c r="F20" s="9">
        <f t="shared" si="0"/>
        <v>0</v>
      </c>
    </row>
    <row r="21" spans="1:13">
      <c r="A21" s="17">
        <v>0.28125</v>
      </c>
      <c r="B21">
        <v>0</v>
      </c>
      <c r="C21">
        <v>0</v>
      </c>
      <c r="E21" s="9">
        <f t="shared" si="0"/>
        <v>0</v>
      </c>
      <c r="F21" s="9">
        <f t="shared" si="0"/>
        <v>0</v>
      </c>
    </row>
    <row r="22" spans="1:13">
      <c r="A22" s="17">
        <v>0.28819444444444398</v>
      </c>
      <c r="B22">
        <v>0</v>
      </c>
      <c r="C22">
        <v>0</v>
      </c>
      <c r="E22" s="9">
        <f t="shared" si="0"/>
        <v>0</v>
      </c>
      <c r="F22" s="9">
        <f t="shared" si="0"/>
        <v>0</v>
      </c>
    </row>
    <row r="23" spans="1:13">
      <c r="A23" s="17">
        <v>0.2951388888888889</v>
      </c>
      <c r="B23">
        <v>0</v>
      </c>
      <c r="C23">
        <v>0</v>
      </c>
      <c r="E23" s="9">
        <f t="shared" si="0"/>
        <v>0</v>
      </c>
      <c r="F23" s="9">
        <f t="shared" si="0"/>
        <v>0</v>
      </c>
    </row>
    <row r="24" spans="1:13">
      <c r="A24" s="17">
        <v>0.30208333333333331</v>
      </c>
      <c r="B24">
        <v>0</v>
      </c>
      <c r="C24">
        <v>0</v>
      </c>
      <c r="E24" s="9">
        <f t="shared" si="0"/>
        <v>0</v>
      </c>
      <c r="F24" s="9">
        <f t="shared" si="0"/>
        <v>0</v>
      </c>
    </row>
    <row r="25" spans="1:13">
      <c r="A25" s="17">
        <v>0.30902777777777801</v>
      </c>
      <c r="B25">
        <v>4</v>
      </c>
      <c r="C25">
        <v>4</v>
      </c>
      <c r="E25" s="9">
        <f t="shared" si="0"/>
        <v>0.33333333333333331</v>
      </c>
      <c r="F25" s="9">
        <f t="shared" si="0"/>
        <v>0.33333333333333331</v>
      </c>
      <c r="I25" t="s">
        <v>45</v>
      </c>
      <c r="L25" s="19">
        <f>E114/1000</f>
        <v>4.0774999999999979</v>
      </c>
      <c r="M25" t="s">
        <v>46</v>
      </c>
    </row>
    <row r="26" spans="1:13">
      <c r="A26" s="17">
        <v>0.31597222222222199</v>
      </c>
      <c r="B26">
        <v>12</v>
      </c>
      <c r="C26">
        <v>12</v>
      </c>
      <c r="E26" s="9">
        <f t="shared" si="0"/>
        <v>1.3333333333333333</v>
      </c>
      <c r="F26" s="9">
        <f t="shared" si="0"/>
        <v>1.3333333333333333</v>
      </c>
      <c r="I26" t="s">
        <v>47</v>
      </c>
      <c r="L26" s="19">
        <f>F114/1000</f>
        <v>4.5516666666666676</v>
      </c>
      <c r="M26" t="s">
        <v>46</v>
      </c>
    </row>
    <row r="27" spans="1:13">
      <c r="A27" s="17">
        <v>0.32291666666666702</v>
      </c>
      <c r="B27">
        <v>38</v>
      </c>
      <c r="C27">
        <v>38</v>
      </c>
      <c r="E27" s="9">
        <f t="shared" si="0"/>
        <v>4.166666666666667</v>
      </c>
      <c r="F27" s="9">
        <f t="shared" si="0"/>
        <v>4.166666666666667</v>
      </c>
    </row>
    <row r="28" spans="1:13">
      <c r="A28" s="17">
        <v>0.32986111111111099</v>
      </c>
      <c r="B28">
        <v>33</v>
      </c>
      <c r="C28">
        <v>33</v>
      </c>
      <c r="E28" s="9">
        <f t="shared" si="0"/>
        <v>5.916666666666667</v>
      </c>
      <c r="F28" s="9">
        <f t="shared" si="0"/>
        <v>5.916666666666667</v>
      </c>
      <c r="G28" s="17"/>
    </row>
    <row r="29" spans="1:13">
      <c r="A29" s="17">
        <v>0.33680555555555503</v>
      </c>
      <c r="B29">
        <v>44</v>
      </c>
      <c r="C29">
        <v>44</v>
      </c>
      <c r="E29" s="9">
        <f t="shared" si="0"/>
        <v>6.416666666666667</v>
      </c>
      <c r="F29" s="9">
        <f t="shared" si="0"/>
        <v>6.416666666666667</v>
      </c>
    </row>
    <row r="30" spans="1:13">
      <c r="A30" s="17">
        <v>0.34375</v>
      </c>
      <c r="B30">
        <v>56</v>
      </c>
      <c r="C30">
        <v>56</v>
      </c>
      <c r="E30" s="9">
        <f t="shared" si="0"/>
        <v>8.3333333333333339</v>
      </c>
      <c r="F30" s="9">
        <f t="shared" si="0"/>
        <v>8.3333333333333339</v>
      </c>
    </row>
    <row r="31" spans="1:13">
      <c r="A31" s="17">
        <v>0.35069444444444398</v>
      </c>
      <c r="B31">
        <v>69</v>
      </c>
      <c r="C31">
        <v>69</v>
      </c>
      <c r="E31" s="9">
        <f t="shared" si="0"/>
        <v>10.416666666666666</v>
      </c>
      <c r="F31" s="9">
        <f t="shared" si="0"/>
        <v>10.416666666666666</v>
      </c>
    </row>
    <row r="32" spans="1:13">
      <c r="A32" s="17">
        <v>0.35763888888888901</v>
      </c>
      <c r="B32">
        <v>135</v>
      </c>
      <c r="C32">
        <v>135</v>
      </c>
      <c r="E32" s="9">
        <f t="shared" si="0"/>
        <v>17</v>
      </c>
      <c r="F32" s="9">
        <f t="shared" si="0"/>
        <v>17</v>
      </c>
    </row>
    <row r="33" spans="1:6">
      <c r="A33" s="17">
        <v>0.36458333333333298</v>
      </c>
      <c r="B33">
        <v>299</v>
      </c>
      <c r="C33">
        <v>299</v>
      </c>
      <c r="E33" s="9">
        <f t="shared" si="0"/>
        <v>36.166666666666664</v>
      </c>
      <c r="F33" s="9">
        <f t="shared" si="0"/>
        <v>36.166666666666664</v>
      </c>
    </row>
    <row r="34" spans="1:6">
      <c r="A34" s="17">
        <v>0.37152777777777801</v>
      </c>
      <c r="B34">
        <v>348</v>
      </c>
      <c r="C34">
        <v>348</v>
      </c>
      <c r="E34" s="9">
        <f t="shared" si="0"/>
        <v>53.916666666666664</v>
      </c>
      <c r="F34" s="9">
        <f t="shared" si="0"/>
        <v>53.916666666666664</v>
      </c>
    </row>
    <row r="35" spans="1:6">
      <c r="A35" s="17">
        <v>0.37847222222222199</v>
      </c>
      <c r="B35">
        <v>385</v>
      </c>
      <c r="C35">
        <v>385</v>
      </c>
      <c r="E35" s="9">
        <f t="shared" si="0"/>
        <v>61.083333333333336</v>
      </c>
      <c r="F35" s="9">
        <f t="shared" si="0"/>
        <v>61.083333333333336</v>
      </c>
    </row>
    <row r="36" spans="1:6">
      <c r="A36" s="17">
        <v>0.38541666666666602</v>
      </c>
      <c r="B36">
        <v>416</v>
      </c>
      <c r="C36">
        <v>416</v>
      </c>
      <c r="E36" s="9">
        <f t="shared" si="0"/>
        <v>66.75</v>
      </c>
      <c r="F36" s="9">
        <f t="shared" si="0"/>
        <v>66.75</v>
      </c>
    </row>
    <row r="37" spans="1:6">
      <c r="A37" s="17">
        <v>0.39236111111111099</v>
      </c>
      <c r="B37">
        <v>447</v>
      </c>
      <c r="C37">
        <v>447</v>
      </c>
      <c r="E37" s="9">
        <f t="shared" si="0"/>
        <v>71.916666666666671</v>
      </c>
      <c r="F37" s="9">
        <f t="shared" si="0"/>
        <v>71.916666666666671</v>
      </c>
    </row>
    <row r="38" spans="1:6">
      <c r="A38" s="17">
        <v>0.39930555555555503</v>
      </c>
      <c r="B38">
        <v>474</v>
      </c>
      <c r="C38">
        <v>474</v>
      </c>
      <c r="E38" s="9">
        <f t="shared" si="0"/>
        <v>76.75</v>
      </c>
      <c r="F38" s="9">
        <f t="shared" si="0"/>
        <v>76.75</v>
      </c>
    </row>
    <row r="39" spans="1:6">
      <c r="A39" s="17">
        <v>0.40625</v>
      </c>
      <c r="B39">
        <v>499</v>
      </c>
      <c r="C39">
        <v>499</v>
      </c>
      <c r="E39" s="9">
        <f t="shared" si="0"/>
        <v>81.083333333333329</v>
      </c>
      <c r="F39" s="9">
        <f t="shared" si="0"/>
        <v>81.083333333333329</v>
      </c>
    </row>
    <row r="40" spans="1:6">
      <c r="A40" s="17">
        <v>0.41319444444444398</v>
      </c>
      <c r="B40">
        <v>526</v>
      </c>
      <c r="C40">
        <v>526</v>
      </c>
      <c r="E40" s="9">
        <f t="shared" si="0"/>
        <v>85.416666666666671</v>
      </c>
      <c r="F40" s="9">
        <f t="shared" si="0"/>
        <v>85.416666666666671</v>
      </c>
    </row>
    <row r="41" spans="1:6">
      <c r="A41" s="17">
        <v>0.42013888888888901</v>
      </c>
      <c r="B41">
        <v>550</v>
      </c>
      <c r="C41">
        <v>550</v>
      </c>
      <c r="E41" s="9">
        <f t="shared" si="0"/>
        <v>89.666666666666671</v>
      </c>
      <c r="F41" s="9">
        <f t="shared" si="0"/>
        <v>89.666666666666671</v>
      </c>
    </row>
    <row r="42" spans="1:6">
      <c r="A42" s="17">
        <v>0.42708333333333298</v>
      </c>
      <c r="B42">
        <v>571</v>
      </c>
      <c r="C42">
        <v>571</v>
      </c>
      <c r="E42" s="9">
        <f t="shared" si="0"/>
        <v>93.416666666666671</v>
      </c>
      <c r="F42" s="9">
        <f t="shared" si="0"/>
        <v>93.416666666666671</v>
      </c>
    </row>
    <row r="43" spans="1:6">
      <c r="A43" s="17">
        <v>0.43402777777777701</v>
      </c>
      <c r="B43">
        <v>587</v>
      </c>
      <c r="C43">
        <v>587</v>
      </c>
      <c r="E43" s="9">
        <f t="shared" si="0"/>
        <v>96.5</v>
      </c>
      <c r="F43" s="9">
        <f t="shared" si="0"/>
        <v>96.5</v>
      </c>
    </row>
    <row r="44" spans="1:6">
      <c r="A44" s="17">
        <v>0.44097222222222199</v>
      </c>
      <c r="B44">
        <v>606</v>
      </c>
      <c r="C44">
        <v>606</v>
      </c>
      <c r="E44" s="9">
        <f t="shared" si="0"/>
        <v>99.416666666666671</v>
      </c>
      <c r="F44" s="9">
        <f t="shared" si="0"/>
        <v>99.416666666666671</v>
      </c>
    </row>
    <row r="45" spans="1:6">
      <c r="A45" s="17">
        <v>0.44791666666666602</v>
      </c>
      <c r="B45">
        <v>622</v>
      </c>
      <c r="C45">
        <v>622</v>
      </c>
      <c r="E45" s="9">
        <f t="shared" si="0"/>
        <v>102.33333333333333</v>
      </c>
      <c r="F45" s="9">
        <f t="shared" si="0"/>
        <v>102.33333333333333</v>
      </c>
    </row>
    <row r="46" spans="1:6">
      <c r="A46" s="17">
        <v>0.45486111111111099</v>
      </c>
      <c r="B46">
        <v>636</v>
      </c>
      <c r="C46">
        <v>636</v>
      </c>
      <c r="E46" s="9">
        <f t="shared" si="0"/>
        <v>104.83333333333333</v>
      </c>
      <c r="F46" s="9">
        <f t="shared" si="0"/>
        <v>104.83333333333333</v>
      </c>
    </row>
    <row r="47" spans="1:6">
      <c r="A47" s="17">
        <v>0.46180555555555503</v>
      </c>
      <c r="B47">
        <v>647</v>
      </c>
      <c r="C47">
        <v>647</v>
      </c>
      <c r="E47" s="9">
        <f t="shared" si="0"/>
        <v>106.91666666666667</v>
      </c>
      <c r="F47" s="9">
        <f t="shared" si="0"/>
        <v>106.91666666666667</v>
      </c>
    </row>
    <row r="48" spans="1:6">
      <c r="A48" s="17">
        <v>0.468749999999999</v>
      </c>
      <c r="B48">
        <v>659</v>
      </c>
      <c r="C48">
        <v>659</v>
      </c>
      <c r="E48" s="9">
        <f t="shared" si="0"/>
        <v>108.83333333333333</v>
      </c>
      <c r="F48" s="9">
        <f t="shared" si="0"/>
        <v>108.83333333333333</v>
      </c>
    </row>
    <row r="49" spans="1:11">
      <c r="A49" s="17">
        <v>0.47569444444444398</v>
      </c>
      <c r="B49">
        <v>664</v>
      </c>
      <c r="C49">
        <v>664</v>
      </c>
      <c r="E49" s="9">
        <f t="shared" si="0"/>
        <v>110.25</v>
      </c>
      <c r="F49" s="9">
        <f t="shared" si="0"/>
        <v>110.25</v>
      </c>
    </row>
    <row r="50" spans="1:11">
      <c r="A50" s="17">
        <v>0.48263888888888801</v>
      </c>
      <c r="B50">
        <v>671</v>
      </c>
      <c r="C50">
        <v>671</v>
      </c>
      <c r="E50" s="9">
        <f t="shared" si="0"/>
        <v>111.25</v>
      </c>
      <c r="F50" s="9">
        <f t="shared" si="0"/>
        <v>111.25</v>
      </c>
    </row>
    <row r="51" spans="1:11">
      <c r="A51" s="17">
        <v>0.48958333333333298</v>
      </c>
      <c r="B51">
        <v>670</v>
      </c>
      <c r="C51">
        <v>670</v>
      </c>
      <c r="E51" s="9">
        <f t="shared" si="0"/>
        <v>111.75</v>
      </c>
      <c r="F51" s="9">
        <f t="shared" si="0"/>
        <v>111.75</v>
      </c>
    </row>
    <row r="52" spans="1:11">
      <c r="A52" s="17">
        <v>0.49652777777777701</v>
      </c>
      <c r="B52">
        <v>675</v>
      </c>
      <c r="C52">
        <v>675</v>
      </c>
      <c r="E52" s="9">
        <f t="shared" si="0"/>
        <v>112.08333333333333</v>
      </c>
      <c r="F52" s="9">
        <f t="shared" si="0"/>
        <v>112.08333333333333</v>
      </c>
    </row>
    <row r="53" spans="1:11">
      <c r="A53" s="17">
        <v>0.50347222222222199</v>
      </c>
      <c r="B53">
        <v>685</v>
      </c>
      <c r="C53">
        <v>685</v>
      </c>
      <c r="E53" s="9">
        <f t="shared" si="0"/>
        <v>113.33333333333333</v>
      </c>
      <c r="F53" s="9">
        <f t="shared" si="0"/>
        <v>113.33333333333333</v>
      </c>
    </row>
    <row r="54" spans="1:11">
      <c r="A54" s="17">
        <v>0.51041666666666596</v>
      </c>
      <c r="B54">
        <v>682</v>
      </c>
      <c r="C54">
        <v>682</v>
      </c>
      <c r="E54" s="9">
        <f t="shared" si="0"/>
        <v>113.91666666666667</v>
      </c>
      <c r="F54" s="9">
        <f t="shared" si="0"/>
        <v>113.91666666666667</v>
      </c>
    </row>
    <row r="55" spans="1:11">
      <c r="A55" s="17">
        <v>0.51736111111111005</v>
      </c>
      <c r="B55">
        <v>693</v>
      </c>
      <c r="C55">
        <v>693</v>
      </c>
      <c r="E55" s="9">
        <f t="shared" si="0"/>
        <v>114.58333333333333</v>
      </c>
      <c r="F55" s="9">
        <f t="shared" si="0"/>
        <v>114.58333333333333</v>
      </c>
    </row>
    <row r="56" spans="1:11">
      <c r="A56" s="17">
        <v>0.52430555555555503</v>
      </c>
      <c r="B56">
        <v>680</v>
      </c>
      <c r="C56" s="13">
        <v>680</v>
      </c>
      <c r="E56" s="9">
        <f t="shared" si="0"/>
        <v>114.41666666666667</v>
      </c>
      <c r="F56" s="9">
        <f t="shared" si="0"/>
        <v>114.41666666666667</v>
      </c>
    </row>
    <row r="57" spans="1:11">
      <c r="A57" s="17">
        <v>0.531249999999999</v>
      </c>
      <c r="B57">
        <v>670</v>
      </c>
      <c r="C57" s="13">
        <v>678</v>
      </c>
      <c r="E57" s="9">
        <f t="shared" si="0"/>
        <v>112.5</v>
      </c>
      <c r="F57" s="9">
        <f t="shared" si="0"/>
        <v>113.16666666666667</v>
      </c>
      <c r="G57" s="20">
        <f t="shared" ref="G57:H72" si="1">E57</f>
        <v>112.5</v>
      </c>
      <c r="H57" s="20">
        <f t="shared" si="1"/>
        <v>113.16666666666667</v>
      </c>
      <c r="I57" t="s">
        <v>49</v>
      </c>
      <c r="K57">
        <f>SUM(G57:G66)/1000</f>
        <v>0.93208333333333337</v>
      </c>
    </row>
    <row r="58" spans="1:11">
      <c r="A58" s="17">
        <v>0.53819444444444398</v>
      </c>
      <c r="B58">
        <v>630</v>
      </c>
      <c r="C58" s="13">
        <v>675</v>
      </c>
      <c r="E58" s="9">
        <f t="shared" si="0"/>
        <v>108.33333333333333</v>
      </c>
      <c r="F58" s="9">
        <f t="shared" si="0"/>
        <v>112.75</v>
      </c>
      <c r="G58" s="20">
        <f t="shared" si="1"/>
        <v>108.33333333333333</v>
      </c>
      <c r="H58" s="20">
        <f t="shared" si="1"/>
        <v>112.75</v>
      </c>
      <c r="I58" t="s">
        <v>50</v>
      </c>
      <c r="K58">
        <f>SUM(H57:H66)/1000</f>
        <v>1.0874166666666667</v>
      </c>
    </row>
    <row r="59" spans="1:11">
      <c r="A59" s="17">
        <v>0.54513888888888795</v>
      </c>
      <c r="B59">
        <v>552</v>
      </c>
      <c r="C59" s="13">
        <v>671</v>
      </c>
      <c r="E59" s="9">
        <f t="shared" si="0"/>
        <v>98.5</v>
      </c>
      <c r="F59" s="9">
        <f t="shared" si="0"/>
        <v>112.16666666666667</v>
      </c>
      <c r="G59" s="20">
        <f t="shared" si="1"/>
        <v>98.5</v>
      </c>
      <c r="H59" s="20">
        <f t="shared" si="1"/>
        <v>112.16666666666667</v>
      </c>
    </row>
    <row r="60" spans="1:11">
      <c r="A60" s="17">
        <v>0.55208333333333304</v>
      </c>
      <c r="B60">
        <v>461</v>
      </c>
      <c r="C60" s="13">
        <v>665</v>
      </c>
      <c r="E60" s="9">
        <f t="shared" si="0"/>
        <v>84.416666666666671</v>
      </c>
      <c r="F60" s="9">
        <f t="shared" si="0"/>
        <v>111.33333333333333</v>
      </c>
      <c r="G60" s="20">
        <f t="shared" si="1"/>
        <v>84.416666666666671</v>
      </c>
      <c r="H60" s="20">
        <f t="shared" si="1"/>
        <v>111.33333333333333</v>
      </c>
    </row>
    <row r="61" spans="1:11">
      <c r="A61" s="17">
        <v>0.55902777777777701</v>
      </c>
      <c r="B61">
        <v>445</v>
      </c>
      <c r="C61" s="13">
        <v>658</v>
      </c>
      <c r="E61" s="9">
        <f t="shared" si="0"/>
        <v>75.5</v>
      </c>
      <c r="F61" s="9">
        <f t="shared" si="0"/>
        <v>110.25</v>
      </c>
      <c r="G61" s="20">
        <f t="shared" si="1"/>
        <v>75.5</v>
      </c>
      <c r="H61" s="20">
        <f t="shared" si="1"/>
        <v>110.25</v>
      </c>
    </row>
    <row r="62" spans="1:11">
      <c r="A62" s="17">
        <v>0.56597222222222099</v>
      </c>
      <c r="B62">
        <v>485</v>
      </c>
      <c r="C62" s="13">
        <v>650</v>
      </c>
      <c r="E62" s="9">
        <f t="shared" si="0"/>
        <v>77.5</v>
      </c>
      <c r="F62" s="9">
        <f t="shared" si="0"/>
        <v>109</v>
      </c>
      <c r="G62" s="20">
        <f t="shared" si="1"/>
        <v>77.5</v>
      </c>
      <c r="H62" s="20">
        <f t="shared" si="1"/>
        <v>109</v>
      </c>
    </row>
    <row r="63" spans="1:11">
      <c r="A63" s="17">
        <v>0.57291666666666596</v>
      </c>
      <c r="B63">
        <v>527</v>
      </c>
      <c r="C63" s="13">
        <v>642</v>
      </c>
      <c r="E63" s="9">
        <f t="shared" si="0"/>
        <v>84.333333333333329</v>
      </c>
      <c r="F63" s="9">
        <f t="shared" si="0"/>
        <v>107.66666666666667</v>
      </c>
      <c r="G63" s="20">
        <f t="shared" si="1"/>
        <v>84.333333333333329</v>
      </c>
      <c r="H63" s="20">
        <f t="shared" si="1"/>
        <v>107.66666666666667</v>
      </c>
    </row>
    <row r="64" spans="1:11">
      <c r="A64" s="17">
        <v>0.57986111111111005</v>
      </c>
      <c r="B64">
        <v>581</v>
      </c>
      <c r="C64" s="13">
        <v>630</v>
      </c>
      <c r="E64" s="9">
        <f t="shared" si="0"/>
        <v>92.333333333333329</v>
      </c>
      <c r="F64" s="9">
        <f t="shared" si="0"/>
        <v>106</v>
      </c>
      <c r="G64" s="20">
        <f t="shared" si="1"/>
        <v>92.333333333333329</v>
      </c>
      <c r="H64" s="20">
        <f t="shared" si="1"/>
        <v>106</v>
      </c>
    </row>
    <row r="65" spans="1:11">
      <c r="A65" s="17">
        <v>0.58680555555555503</v>
      </c>
      <c r="B65">
        <v>601</v>
      </c>
      <c r="C65" s="13">
        <v>615</v>
      </c>
      <c r="E65" s="9">
        <f t="shared" si="0"/>
        <v>98.5</v>
      </c>
      <c r="F65" s="9">
        <f t="shared" si="0"/>
        <v>103.75</v>
      </c>
      <c r="G65" s="20">
        <f t="shared" si="1"/>
        <v>98.5</v>
      </c>
      <c r="H65" s="20">
        <f t="shared" si="1"/>
        <v>103.75</v>
      </c>
    </row>
    <row r="66" spans="1:11">
      <c r="A66" s="17">
        <v>0.593749999999999</v>
      </c>
      <c r="B66">
        <v>601</v>
      </c>
      <c r="C66" s="18">
        <v>601</v>
      </c>
      <c r="E66" s="9">
        <f t="shared" si="0"/>
        <v>100.16666666666667</v>
      </c>
      <c r="F66" s="9">
        <f t="shared" si="0"/>
        <v>101.33333333333333</v>
      </c>
      <c r="G66" s="20">
        <f t="shared" si="1"/>
        <v>100.16666666666667</v>
      </c>
      <c r="H66" s="20">
        <f t="shared" si="1"/>
        <v>101.33333333333333</v>
      </c>
    </row>
    <row r="67" spans="1:11">
      <c r="A67" s="17">
        <v>0.60069444444444298</v>
      </c>
      <c r="B67">
        <v>553</v>
      </c>
      <c r="C67" s="13">
        <v>582</v>
      </c>
      <c r="E67" s="9">
        <f t="shared" si="0"/>
        <v>96.166666666666671</v>
      </c>
      <c r="F67" s="9">
        <f t="shared" si="0"/>
        <v>98.583333333333329</v>
      </c>
      <c r="G67" s="21">
        <f t="shared" si="1"/>
        <v>96.166666666666671</v>
      </c>
      <c r="H67" s="21">
        <f t="shared" si="1"/>
        <v>98.583333333333329</v>
      </c>
      <c r="I67" t="s">
        <v>51</v>
      </c>
      <c r="K67">
        <f>SUM(G67:G75)/1000</f>
        <v>0.43708333333333343</v>
      </c>
    </row>
    <row r="68" spans="1:11">
      <c r="A68" s="17">
        <v>0.60763888888888795</v>
      </c>
      <c r="B68">
        <v>368</v>
      </c>
      <c r="C68" s="13">
        <v>562</v>
      </c>
      <c r="E68" s="9">
        <f t="shared" si="0"/>
        <v>76.75</v>
      </c>
      <c r="F68" s="9">
        <f t="shared" si="0"/>
        <v>95.333333333333329</v>
      </c>
      <c r="G68" s="21">
        <f t="shared" si="1"/>
        <v>76.75</v>
      </c>
      <c r="H68" s="21">
        <f t="shared" si="1"/>
        <v>95.333333333333329</v>
      </c>
      <c r="I68" t="s">
        <v>52</v>
      </c>
      <c r="K68">
        <f>SUM(H67:H75)/1000</f>
        <v>0.75591666666666679</v>
      </c>
    </row>
    <row r="69" spans="1:11">
      <c r="A69" s="17">
        <v>0.61458333333333204</v>
      </c>
      <c r="B69">
        <v>239</v>
      </c>
      <c r="C69" s="13">
        <v>541</v>
      </c>
      <c r="E69" s="9">
        <f t="shared" si="0"/>
        <v>50.583333333333336</v>
      </c>
      <c r="F69" s="9">
        <f t="shared" si="0"/>
        <v>91.916666666666671</v>
      </c>
      <c r="G69" s="21">
        <f t="shared" si="1"/>
        <v>50.583333333333336</v>
      </c>
      <c r="H69" s="21">
        <f t="shared" si="1"/>
        <v>91.916666666666671</v>
      </c>
    </row>
    <row r="70" spans="1:11">
      <c r="A70" s="17">
        <v>0.62152777777777701</v>
      </c>
      <c r="B70">
        <v>162</v>
      </c>
      <c r="C70" s="13">
        <v>519</v>
      </c>
      <c r="E70" s="9">
        <f t="shared" si="0"/>
        <v>33.416666666666664</v>
      </c>
      <c r="F70" s="9">
        <f t="shared" si="0"/>
        <v>88.333333333333329</v>
      </c>
      <c r="G70" s="21">
        <f t="shared" si="1"/>
        <v>33.416666666666664</v>
      </c>
      <c r="H70" s="21">
        <f t="shared" si="1"/>
        <v>88.333333333333329</v>
      </c>
    </row>
    <row r="71" spans="1:11">
      <c r="A71" s="17">
        <v>0.62847222222222099</v>
      </c>
      <c r="B71">
        <v>132</v>
      </c>
      <c r="C71" s="13">
        <v>496</v>
      </c>
      <c r="E71" s="9">
        <f t="shared" ref="E71:F112" si="2">AVERAGE(B70:B71)*1/6</f>
        <v>24.5</v>
      </c>
      <c r="F71" s="9">
        <f t="shared" si="2"/>
        <v>84.583333333333329</v>
      </c>
      <c r="G71" s="21">
        <f t="shared" si="1"/>
        <v>24.5</v>
      </c>
      <c r="H71" s="21">
        <f t="shared" si="1"/>
        <v>84.583333333333329</v>
      </c>
    </row>
    <row r="72" spans="1:11">
      <c r="A72" s="17">
        <v>0.63541666666666596</v>
      </c>
      <c r="B72">
        <v>149</v>
      </c>
      <c r="C72" s="13">
        <v>472</v>
      </c>
      <c r="E72" s="9">
        <f t="shared" si="2"/>
        <v>23.416666666666668</v>
      </c>
      <c r="F72" s="9">
        <f t="shared" si="2"/>
        <v>80.666666666666671</v>
      </c>
      <c r="G72" s="21">
        <f t="shared" si="1"/>
        <v>23.416666666666668</v>
      </c>
      <c r="H72" s="21">
        <f t="shared" si="1"/>
        <v>80.666666666666671</v>
      </c>
    </row>
    <row r="73" spans="1:11">
      <c r="A73" s="17">
        <v>0.64236111111111005</v>
      </c>
      <c r="B73">
        <v>210</v>
      </c>
      <c r="C73" s="13">
        <v>447</v>
      </c>
      <c r="E73" s="9">
        <f t="shared" si="2"/>
        <v>29.916666666666668</v>
      </c>
      <c r="F73" s="9">
        <f t="shared" si="2"/>
        <v>76.583333333333329</v>
      </c>
      <c r="G73" s="21">
        <f t="shared" ref="G73:H75" si="3">E73</f>
        <v>29.916666666666668</v>
      </c>
      <c r="H73" s="21">
        <f t="shared" si="3"/>
        <v>76.583333333333329</v>
      </c>
    </row>
    <row r="74" spans="1:11">
      <c r="A74" s="17">
        <v>0.64930555555555403</v>
      </c>
      <c r="B74">
        <v>314</v>
      </c>
      <c r="C74" s="13">
        <v>421</v>
      </c>
      <c r="E74" s="9">
        <f t="shared" si="2"/>
        <v>43.666666666666664</v>
      </c>
      <c r="F74" s="9">
        <f t="shared" si="2"/>
        <v>72.333333333333329</v>
      </c>
      <c r="G74" s="21">
        <f t="shared" si="3"/>
        <v>43.666666666666664</v>
      </c>
      <c r="H74" s="21">
        <f t="shared" si="3"/>
        <v>72.333333333333329</v>
      </c>
    </row>
    <row r="75" spans="1:11">
      <c r="A75" s="17">
        <v>0.656249999999999</v>
      </c>
      <c r="B75">
        <v>390</v>
      </c>
      <c r="C75" s="18">
        <v>390</v>
      </c>
      <c r="E75" s="9">
        <f t="shared" si="2"/>
        <v>58.666666666666664</v>
      </c>
      <c r="F75" s="9">
        <f t="shared" si="2"/>
        <v>67.583333333333329</v>
      </c>
      <c r="G75" s="21">
        <f t="shared" si="3"/>
        <v>58.666666666666664</v>
      </c>
      <c r="H75" s="21">
        <f t="shared" si="3"/>
        <v>67.583333333333329</v>
      </c>
    </row>
    <row r="76" spans="1:11">
      <c r="A76" s="17">
        <v>0.66319444444444298</v>
      </c>
      <c r="B76">
        <v>368</v>
      </c>
      <c r="C76">
        <v>368</v>
      </c>
      <c r="E76" s="9">
        <f t="shared" si="2"/>
        <v>63.166666666666664</v>
      </c>
      <c r="F76" s="9">
        <f t="shared" si="2"/>
        <v>63.166666666666664</v>
      </c>
    </row>
    <row r="77" spans="1:11">
      <c r="A77" s="17">
        <v>0.67013888888888795</v>
      </c>
      <c r="B77">
        <v>337</v>
      </c>
      <c r="C77">
        <v>337</v>
      </c>
      <c r="E77" s="9">
        <f t="shared" si="2"/>
        <v>58.75</v>
      </c>
      <c r="F77" s="9">
        <f t="shared" si="2"/>
        <v>58.75</v>
      </c>
    </row>
    <row r="78" spans="1:11">
      <c r="A78" s="17">
        <v>0.67708333333333204</v>
      </c>
      <c r="B78">
        <v>301</v>
      </c>
      <c r="C78">
        <v>301</v>
      </c>
      <c r="E78" s="9">
        <f t="shared" si="2"/>
        <v>53.166666666666664</v>
      </c>
      <c r="F78" s="9">
        <f t="shared" si="2"/>
        <v>53.166666666666664</v>
      </c>
    </row>
    <row r="79" spans="1:11">
      <c r="A79" s="17">
        <v>0.68402777777777701</v>
      </c>
      <c r="B79">
        <v>269</v>
      </c>
      <c r="C79">
        <v>269</v>
      </c>
      <c r="E79" s="9">
        <f t="shared" si="2"/>
        <v>47.5</v>
      </c>
      <c r="F79" s="9">
        <f t="shared" si="2"/>
        <v>47.5</v>
      </c>
    </row>
    <row r="80" spans="1:11">
      <c r="A80" s="17">
        <v>0.69097222222222099</v>
      </c>
      <c r="B80">
        <v>232</v>
      </c>
      <c r="C80">
        <v>232</v>
      </c>
      <c r="E80" s="9">
        <f t="shared" si="2"/>
        <v>41.75</v>
      </c>
      <c r="F80" s="9">
        <f t="shared" si="2"/>
        <v>41.75</v>
      </c>
    </row>
    <row r="81" spans="1:6">
      <c r="A81" s="17">
        <v>0.69791666666666496</v>
      </c>
      <c r="B81">
        <v>197</v>
      </c>
      <c r="C81">
        <v>197</v>
      </c>
      <c r="E81" s="9">
        <f t="shared" si="2"/>
        <v>35.75</v>
      </c>
      <c r="F81" s="9">
        <f t="shared" si="2"/>
        <v>35.75</v>
      </c>
    </row>
    <row r="82" spans="1:6">
      <c r="A82" s="17">
        <v>0.70486111111111005</v>
      </c>
      <c r="B82">
        <v>166</v>
      </c>
      <c r="C82">
        <v>166</v>
      </c>
      <c r="E82" s="9">
        <f t="shared" si="2"/>
        <v>30.25</v>
      </c>
      <c r="F82" s="9">
        <f t="shared" si="2"/>
        <v>30.25</v>
      </c>
    </row>
    <row r="83" spans="1:6">
      <c r="A83" s="17">
        <v>0.71180555555555403</v>
      </c>
      <c r="B83">
        <v>135</v>
      </c>
      <c r="C83">
        <v>135</v>
      </c>
      <c r="E83" s="9">
        <f t="shared" si="2"/>
        <v>25.083333333333332</v>
      </c>
      <c r="F83" s="9">
        <f t="shared" si="2"/>
        <v>25.083333333333332</v>
      </c>
    </row>
    <row r="84" spans="1:6">
      <c r="A84" s="17">
        <v>0.718749999999999</v>
      </c>
      <c r="B84">
        <v>107</v>
      </c>
      <c r="C84">
        <v>107</v>
      </c>
      <c r="E84" s="9">
        <f t="shared" si="2"/>
        <v>20.166666666666668</v>
      </c>
      <c r="F84" s="9">
        <f t="shared" si="2"/>
        <v>20.166666666666668</v>
      </c>
    </row>
    <row r="85" spans="1:6">
      <c r="A85" s="17">
        <v>0.72569444444444298</v>
      </c>
      <c r="B85">
        <v>80</v>
      </c>
      <c r="C85">
        <v>80</v>
      </c>
      <c r="E85" s="9">
        <f t="shared" si="2"/>
        <v>15.583333333333334</v>
      </c>
      <c r="F85" s="9">
        <f t="shared" si="2"/>
        <v>15.583333333333334</v>
      </c>
    </row>
    <row r="86" spans="1:6">
      <c r="A86" s="17">
        <v>0.73263888888888695</v>
      </c>
      <c r="B86">
        <v>57</v>
      </c>
      <c r="C86">
        <v>57</v>
      </c>
      <c r="E86" s="9">
        <f t="shared" si="2"/>
        <v>11.416666666666666</v>
      </c>
      <c r="F86" s="9">
        <f t="shared" si="2"/>
        <v>11.416666666666666</v>
      </c>
    </row>
    <row r="87" spans="1:6">
      <c r="A87" s="17">
        <v>0.73958333333333204</v>
      </c>
      <c r="B87">
        <v>35</v>
      </c>
      <c r="C87">
        <v>35</v>
      </c>
      <c r="E87" s="9">
        <f t="shared" si="2"/>
        <v>7.666666666666667</v>
      </c>
      <c r="F87" s="9">
        <f t="shared" si="2"/>
        <v>7.666666666666667</v>
      </c>
    </row>
    <row r="88" spans="1:6">
      <c r="A88" s="17">
        <v>0.74652777777777601</v>
      </c>
      <c r="B88">
        <v>18</v>
      </c>
      <c r="C88">
        <v>18</v>
      </c>
      <c r="E88" s="9">
        <f t="shared" si="2"/>
        <v>4.416666666666667</v>
      </c>
      <c r="F88" s="9">
        <f t="shared" si="2"/>
        <v>4.416666666666667</v>
      </c>
    </row>
    <row r="89" spans="1:6">
      <c r="A89" s="17">
        <v>0.75347222222222099</v>
      </c>
      <c r="B89">
        <v>8</v>
      </c>
      <c r="C89">
        <v>8</v>
      </c>
      <c r="E89" s="9">
        <f t="shared" si="2"/>
        <v>2.1666666666666665</v>
      </c>
      <c r="F89" s="9">
        <f t="shared" si="2"/>
        <v>2.1666666666666665</v>
      </c>
    </row>
    <row r="90" spans="1:6">
      <c r="A90" s="17">
        <v>0.76041666666666496</v>
      </c>
      <c r="B90">
        <v>2</v>
      </c>
      <c r="C90">
        <v>2</v>
      </c>
      <c r="E90" s="9">
        <f t="shared" si="2"/>
        <v>0.83333333333333337</v>
      </c>
      <c r="F90" s="9">
        <f t="shared" si="2"/>
        <v>0.83333333333333337</v>
      </c>
    </row>
    <row r="91" spans="1:6">
      <c r="A91" s="17">
        <v>0.76736111111111005</v>
      </c>
      <c r="B91">
        <v>0</v>
      </c>
      <c r="C91">
        <v>0</v>
      </c>
      <c r="E91" s="9">
        <f t="shared" si="2"/>
        <v>0.16666666666666666</v>
      </c>
      <c r="F91" s="9">
        <f t="shared" si="2"/>
        <v>0.16666666666666666</v>
      </c>
    </row>
    <row r="92" spans="1:6">
      <c r="A92" s="17">
        <v>0.77430555555555403</v>
      </c>
      <c r="B92">
        <v>0</v>
      </c>
      <c r="C92">
        <v>0</v>
      </c>
      <c r="E92" s="9">
        <f t="shared" si="2"/>
        <v>0</v>
      </c>
      <c r="F92" s="9">
        <f t="shared" si="2"/>
        <v>0</v>
      </c>
    </row>
    <row r="93" spans="1:6">
      <c r="A93" s="17">
        <v>0.781249999999998</v>
      </c>
      <c r="B93">
        <v>0</v>
      </c>
      <c r="C93">
        <v>0</v>
      </c>
      <c r="E93" s="9">
        <f t="shared" si="2"/>
        <v>0</v>
      </c>
      <c r="F93" s="9">
        <f t="shared" si="2"/>
        <v>0</v>
      </c>
    </row>
    <row r="94" spans="1:6">
      <c r="A94" s="17">
        <v>0.78819444444444298</v>
      </c>
      <c r="B94">
        <v>0</v>
      </c>
      <c r="C94">
        <v>0</v>
      </c>
      <c r="E94" s="9">
        <f t="shared" si="2"/>
        <v>0</v>
      </c>
      <c r="F94" s="9">
        <f t="shared" si="2"/>
        <v>0</v>
      </c>
    </row>
    <row r="95" spans="1:6">
      <c r="A95" s="17">
        <v>0.79513888888888695</v>
      </c>
      <c r="B95">
        <v>0</v>
      </c>
      <c r="C95">
        <v>0</v>
      </c>
      <c r="E95" s="9">
        <f t="shared" si="2"/>
        <v>0</v>
      </c>
      <c r="F95" s="9">
        <f t="shared" si="2"/>
        <v>0</v>
      </c>
    </row>
    <row r="96" spans="1:6">
      <c r="A96" s="17">
        <v>0.80208333333333204</v>
      </c>
      <c r="B96">
        <v>0</v>
      </c>
      <c r="C96">
        <v>0</v>
      </c>
      <c r="E96" s="9">
        <f t="shared" si="2"/>
        <v>0</v>
      </c>
      <c r="F96" s="9">
        <f t="shared" si="2"/>
        <v>0</v>
      </c>
    </row>
    <row r="97" spans="1:6">
      <c r="A97" s="17">
        <v>0.80902777777777601</v>
      </c>
      <c r="B97">
        <v>0</v>
      </c>
      <c r="C97">
        <v>0</v>
      </c>
      <c r="E97" s="9">
        <f t="shared" si="2"/>
        <v>0</v>
      </c>
      <c r="F97" s="9">
        <f t="shared" si="2"/>
        <v>0</v>
      </c>
    </row>
    <row r="98" spans="1:6">
      <c r="A98" s="17">
        <v>0.81597222222221999</v>
      </c>
      <c r="B98">
        <v>0</v>
      </c>
      <c r="C98">
        <v>0</v>
      </c>
      <c r="E98" s="9">
        <f t="shared" si="2"/>
        <v>0</v>
      </c>
      <c r="F98" s="9">
        <f t="shared" si="2"/>
        <v>0</v>
      </c>
    </row>
    <row r="99" spans="1:6">
      <c r="A99" s="17">
        <v>0.82291666666666496</v>
      </c>
      <c r="B99">
        <v>0</v>
      </c>
      <c r="C99">
        <v>0</v>
      </c>
      <c r="E99" s="9">
        <f t="shared" si="2"/>
        <v>0</v>
      </c>
      <c r="F99" s="9">
        <f t="shared" si="2"/>
        <v>0</v>
      </c>
    </row>
    <row r="100" spans="1:6">
      <c r="A100" s="17">
        <v>0.82986111111110905</v>
      </c>
      <c r="B100">
        <v>0</v>
      </c>
      <c r="C100">
        <v>0</v>
      </c>
      <c r="E100" s="9">
        <f t="shared" si="2"/>
        <v>0</v>
      </c>
      <c r="F100" s="9">
        <f t="shared" si="2"/>
        <v>0</v>
      </c>
    </row>
    <row r="101" spans="1:6">
      <c r="A101" s="17">
        <v>0.83680555555555403</v>
      </c>
      <c r="B101">
        <v>0</v>
      </c>
      <c r="C101">
        <v>0</v>
      </c>
      <c r="E101" s="9">
        <f t="shared" si="2"/>
        <v>0</v>
      </c>
      <c r="F101" s="9">
        <f t="shared" si="2"/>
        <v>0</v>
      </c>
    </row>
    <row r="102" spans="1:6">
      <c r="A102" s="17">
        <v>0.843749999999998</v>
      </c>
      <c r="B102">
        <v>0</v>
      </c>
      <c r="C102">
        <v>0</v>
      </c>
      <c r="E102" s="9">
        <f t="shared" si="2"/>
        <v>0</v>
      </c>
      <c r="F102" s="9">
        <f t="shared" si="2"/>
        <v>0</v>
      </c>
    </row>
    <row r="103" spans="1:6">
      <c r="A103" s="17">
        <v>0.85069444444444298</v>
      </c>
      <c r="B103">
        <v>0</v>
      </c>
      <c r="C103">
        <v>0</v>
      </c>
      <c r="E103" s="9">
        <f t="shared" si="2"/>
        <v>0</v>
      </c>
      <c r="F103" s="9">
        <f t="shared" si="2"/>
        <v>0</v>
      </c>
    </row>
    <row r="104" spans="1:6">
      <c r="A104" s="17">
        <v>0.85763888888888695</v>
      </c>
      <c r="B104">
        <v>0</v>
      </c>
      <c r="C104">
        <v>0</v>
      </c>
      <c r="E104" s="9">
        <f t="shared" si="2"/>
        <v>0</v>
      </c>
      <c r="F104" s="9">
        <f t="shared" si="2"/>
        <v>0</v>
      </c>
    </row>
    <row r="105" spans="1:6">
      <c r="A105" s="17">
        <v>0.86458333333333104</v>
      </c>
      <c r="B105">
        <v>0</v>
      </c>
      <c r="C105">
        <v>0</v>
      </c>
      <c r="E105" s="9">
        <f t="shared" si="2"/>
        <v>0</v>
      </c>
      <c r="F105" s="9">
        <f t="shared" si="2"/>
        <v>0</v>
      </c>
    </row>
    <row r="106" spans="1:6">
      <c r="A106" s="17">
        <v>0.87152777777777601</v>
      </c>
      <c r="B106">
        <v>0</v>
      </c>
      <c r="C106">
        <v>0</v>
      </c>
      <c r="E106" s="9">
        <f t="shared" si="2"/>
        <v>0</v>
      </c>
      <c r="F106" s="9">
        <f t="shared" si="2"/>
        <v>0</v>
      </c>
    </row>
    <row r="107" spans="1:6">
      <c r="A107" s="17">
        <v>0.87847222222221999</v>
      </c>
      <c r="B107">
        <v>0</v>
      </c>
      <c r="C107">
        <v>0</v>
      </c>
      <c r="E107" s="9">
        <f t="shared" si="2"/>
        <v>0</v>
      </c>
      <c r="F107" s="9">
        <f t="shared" si="2"/>
        <v>0</v>
      </c>
    </row>
    <row r="108" spans="1:6">
      <c r="A108" s="17">
        <v>0.88541666666666496</v>
      </c>
      <c r="B108">
        <v>0</v>
      </c>
      <c r="C108">
        <v>0</v>
      </c>
      <c r="E108" s="9">
        <f t="shared" si="2"/>
        <v>0</v>
      </c>
      <c r="F108" s="9">
        <f t="shared" si="2"/>
        <v>0</v>
      </c>
    </row>
    <row r="109" spans="1:6">
      <c r="A109" s="17">
        <v>0.89236111111110905</v>
      </c>
      <c r="B109">
        <v>0</v>
      </c>
      <c r="C109">
        <v>0</v>
      </c>
      <c r="E109" s="9">
        <f t="shared" si="2"/>
        <v>0</v>
      </c>
      <c r="F109" s="9">
        <f t="shared" si="2"/>
        <v>0</v>
      </c>
    </row>
    <row r="110" spans="1:6">
      <c r="A110" s="17">
        <v>0.89930555555555403</v>
      </c>
      <c r="B110">
        <v>0</v>
      </c>
      <c r="C110">
        <v>0</v>
      </c>
      <c r="E110" s="9">
        <f t="shared" si="2"/>
        <v>0</v>
      </c>
      <c r="F110" s="9">
        <f t="shared" si="2"/>
        <v>0</v>
      </c>
    </row>
    <row r="111" spans="1:6">
      <c r="A111" s="17">
        <v>0.906249999999998</v>
      </c>
      <c r="B111">
        <v>0</v>
      </c>
      <c r="C111">
        <v>0</v>
      </c>
      <c r="E111" s="9">
        <f t="shared" si="2"/>
        <v>0</v>
      </c>
      <c r="F111" s="9">
        <f t="shared" si="2"/>
        <v>0</v>
      </c>
    </row>
    <row r="112" spans="1:6">
      <c r="A112" s="17">
        <v>0.91319444444444198</v>
      </c>
      <c r="B112">
        <v>0</v>
      </c>
      <c r="C112">
        <v>0</v>
      </c>
      <c r="E112" s="9">
        <f t="shared" si="2"/>
        <v>0</v>
      </c>
      <c r="F112" s="9">
        <f t="shared" si="2"/>
        <v>0</v>
      </c>
    </row>
    <row r="113" spans="1:6">
      <c r="A113" s="17"/>
      <c r="F113" s="9"/>
    </row>
    <row r="114" spans="1:6">
      <c r="A114" s="17"/>
      <c r="E114" s="9">
        <f>SUM(E5:E112)</f>
        <v>4077.4999999999982</v>
      </c>
      <c r="F114" s="9">
        <f>SUM(F5:F112)</f>
        <v>4551.6666666666679</v>
      </c>
    </row>
    <row r="115" spans="1:6">
      <c r="A115" s="17"/>
    </row>
    <row r="116" spans="1:6">
      <c r="A116" s="17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opLeftCell="A21" workbookViewId="0">
      <selection activeCell="O37" sqref="O37"/>
    </sheetView>
  </sheetViews>
  <sheetFormatPr baseColWidth="10" defaultColWidth="8.83203125" defaultRowHeight="14" x14ac:dyDescent="0"/>
  <cols>
    <col min="1" max="1" width="9.83203125" bestFit="1" customWidth="1"/>
    <col min="2" max="2" width="10.83203125" style="23" customWidth="1"/>
    <col min="3" max="3" width="8.5" style="23" bestFit="1" customWidth="1"/>
    <col min="4" max="4" width="10.6640625" style="23" bestFit="1" customWidth="1"/>
    <col min="5" max="5" width="10.5" style="23" bestFit="1" customWidth="1"/>
    <col min="6" max="6" width="9.83203125" style="23" bestFit="1" customWidth="1"/>
    <col min="7" max="7" width="13.1640625" style="23" bestFit="1" customWidth="1"/>
    <col min="8" max="10" width="8.83203125" style="23"/>
    <col min="11" max="11" width="8.83203125" customWidth="1"/>
  </cols>
  <sheetData>
    <row r="1" spans="1:14">
      <c r="A1" t="s">
        <v>0</v>
      </c>
      <c r="B1" s="23" t="s">
        <v>59</v>
      </c>
      <c r="C1" s="23" t="s">
        <v>60</v>
      </c>
      <c r="D1" s="23" t="s">
        <v>61</v>
      </c>
      <c r="E1" s="23" t="s">
        <v>62</v>
      </c>
      <c r="F1" s="23" t="s">
        <v>63</v>
      </c>
      <c r="G1" s="23" t="s">
        <v>64</v>
      </c>
      <c r="H1" s="23" t="s">
        <v>65</v>
      </c>
      <c r="I1" s="23" t="s">
        <v>71</v>
      </c>
      <c r="J1" s="23" t="s">
        <v>66</v>
      </c>
      <c r="K1" s="24" t="s">
        <v>67</v>
      </c>
      <c r="L1" s="23" t="s">
        <v>74</v>
      </c>
      <c r="M1" s="25" t="s">
        <v>72</v>
      </c>
      <c r="N1" s="5">
        <f>Zonpaneel_FR20!M2+ZonPaneel_APS500!M2+ZonPaneel_Steca1800!M2+ZonPaneel_7xAPS500!M2+ZonPaneel_3xBenQ!M2+ZonPaneel_18xKyocera2eh!N2</f>
        <v>10976</v>
      </c>
    </row>
    <row r="2" spans="1:14">
      <c r="A2" s="3">
        <f>ZonPaneel_18xKyocera2eh!A2</f>
        <v>42078</v>
      </c>
      <c r="B2" s="23">
        <f>Zonpaneel_FR20!B74</f>
        <v>3646</v>
      </c>
      <c r="C2" s="23">
        <f>ZonPaneel_APS500!B20</f>
        <v>172.9</v>
      </c>
      <c r="D2" s="23">
        <f>ZonPaneel_Steca1800!B21</f>
        <v>760</v>
      </c>
      <c r="E2" s="23">
        <f>ZonPaneel_7xAPS500!B17</f>
        <v>541.26</v>
      </c>
      <c r="F2" s="23">
        <f>ZonPaneel_3xBenQ!B6</f>
        <v>44.27</v>
      </c>
      <c r="G2" s="23">
        <f>ZonPaneel_18xKyocera2eh!F2</f>
        <v>0</v>
      </c>
      <c r="H2" s="23">
        <f>SUM(B2:G2)</f>
        <v>5164.43</v>
      </c>
      <c r="K2">
        <v>0</v>
      </c>
    </row>
    <row r="3" spans="1:14">
      <c r="A3" s="3">
        <f>ZonPaneel_18xKyocera2eh!A3</f>
        <v>42099</v>
      </c>
      <c r="B3" s="23">
        <f>Zonpaneel_FR20!B75</f>
        <v>3752</v>
      </c>
      <c r="C3" s="23">
        <f>ZonPaneel_APS500!B21</f>
        <v>196.3</v>
      </c>
      <c r="D3" s="23">
        <f>ZonPaneel_Steca1800!B22</f>
        <v>873</v>
      </c>
      <c r="E3" s="23">
        <f>ZonPaneel_7xAPS500!B18</f>
        <v>672.58</v>
      </c>
      <c r="F3" s="23">
        <f>ZonPaneel_3xBenQ!B7</f>
        <v>94.26</v>
      </c>
      <c r="G3" s="23">
        <f>ZonPaneel_18xKyocera2eh!F3</f>
        <v>50.600000000000364</v>
      </c>
      <c r="H3" s="23">
        <f t="shared" ref="H3:H12" si="0">SUM(B3:G3)</f>
        <v>5638.7400000000007</v>
      </c>
      <c r="I3" s="23">
        <f>(H3-H2)/(A3-A2)</f>
        <v>22.586190476190495</v>
      </c>
      <c r="J3" s="23">
        <f>H3-H2</f>
        <v>474.3100000000004</v>
      </c>
      <c r="K3" s="22">
        <f>J3+K2</f>
        <v>474.3100000000004</v>
      </c>
      <c r="M3" s="22"/>
    </row>
    <row r="4" spans="1:14">
      <c r="A4" s="3">
        <f>ZonPaneel_18xKyocera2eh!A4</f>
        <v>42109</v>
      </c>
      <c r="B4" s="23">
        <f>Zonpaneel_FR20!B76</f>
        <v>3843</v>
      </c>
      <c r="C4" s="23">
        <f>ZonPaneel_APS500!B22</f>
        <v>216</v>
      </c>
      <c r="D4" s="23">
        <f>ZonPaneel_Steca1800!B23</f>
        <v>972</v>
      </c>
      <c r="E4" s="23">
        <f>ZonPaneel_7xAPS500!B19</f>
        <v>788.23</v>
      </c>
      <c r="F4" s="23">
        <f>ZonPaneel_3xBenQ!B8</f>
        <v>138.04</v>
      </c>
      <c r="G4" s="23">
        <f>ZonPaneel_18xKyocera2eh!F4</f>
        <v>91.200000000000728</v>
      </c>
      <c r="H4" s="23">
        <f t="shared" si="0"/>
        <v>6048.47</v>
      </c>
      <c r="I4" s="23">
        <f t="shared" ref="I4:I12" si="1">(H4-H3)/(A4-A3)</f>
        <v>40.972999999999956</v>
      </c>
      <c r="J4" s="23">
        <f t="shared" ref="J4:J12" si="2">H4-H3</f>
        <v>409.72999999999956</v>
      </c>
      <c r="K4" s="22">
        <f t="shared" ref="K4:K12" si="3">J4+K3</f>
        <v>884.04</v>
      </c>
    </row>
    <row r="5" spans="1:14">
      <c r="A5" s="3">
        <f>ZonPaneel_18xKyocera2eh!A5</f>
        <v>42122</v>
      </c>
      <c r="B5" s="23">
        <f>Zonpaneel_FR20!B77</f>
        <v>3964</v>
      </c>
      <c r="C5" s="23">
        <f>ZonPaneel_APS500!B23</f>
        <v>241.7</v>
      </c>
      <c r="D5" s="23">
        <f>ZonPaneel_Steca1800!B24</f>
        <v>1102</v>
      </c>
      <c r="E5" s="23">
        <f>ZonPaneel_7xAPS500!B20</f>
        <v>949.89</v>
      </c>
      <c r="F5" s="23">
        <f>ZonPaneel_3xBenQ!B9</f>
        <v>197.52</v>
      </c>
      <c r="G5" s="23">
        <f>ZonPaneel_18xKyocera2eh!F5</f>
        <v>153.20000000000073</v>
      </c>
      <c r="H5" s="23">
        <f t="shared" si="0"/>
        <v>6608.3100000000013</v>
      </c>
      <c r="I5" s="23">
        <f t="shared" si="1"/>
        <v>43.064615384615465</v>
      </c>
      <c r="J5" s="23">
        <f t="shared" si="2"/>
        <v>559.84000000000106</v>
      </c>
      <c r="K5" s="22">
        <f t="shared" si="3"/>
        <v>1443.880000000001</v>
      </c>
    </row>
    <row r="6" spans="1:14">
      <c r="A6" s="3">
        <f>ZonPaneel_18xKyocera2eh!A6</f>
        <v>42125</v>
      </c>
      <c r="B6" s="23">
        <f>Zonpaneel_FR20!B78</f>
        <v>3988</v>
      </c>
      <c r="C6" s="23">
        <f>ZonPaneel_APS500!B24</f>
        <v>247</v>
      </c>
      <c r="D6" s="23">
        <f>ZonPaneel_Steca1800!B25</f>
        <v>1128</v>
      </c>
      <c r="E6" s="23">
        <f>ZonPaneel_7xAPS500!B21</f>
        <v>984.63</v>
      </c>
      <c r="F6" s="23">
        <f>ZonPaneel_3xBenQ!B10</f>
        <v>209.91</v>
      </c>
      <c r="G6" s="23">
        <f>ZonPaneel_18xKyocera2eh!F6</f>
        <v>169</v>
      </c>
      <c r="H6" s="23">
        <f t="shared" si="0"/>
        <v>6726.54</v>
      </c>
      <c r="I6" s="23">
        <f t="shared" si="1"/>
        <v>39.409999999999549</v>
      </c>
      <c r="J6" s="23">
        <f t="shared" si="2"/>
        <v>118.22999999999865</v>
      </c>
      <c r="K6" s="22">
        <f t="shared" si="3"/>
        <v>1562.1099999999997</v>
      </c>
    </row>
    <row r="7" spans="1:14">
      <c r="A7" s="3">
        <f>ZonPaneel_18xKyocera2eh!A7</f>
        <v>42140</v>
      </c>
      <c r="B7" s="23">
        <f>Zonpaneel_FR20!B79</f>
        <v>4126</v>
      </c>
      <c r="C7" s="23">
        <f>ZonPaneel_APS500!B25</f>
        <v>277.2</v>
      </c>
      <c r="D7" s="23">
        <f>ZonPaneel_Steca1800!B26</f>
        <v>1274</v>
      </c>
      <c r="E7" s="23">
        <f>ZonPaneel_7xAPS500!B22</f>
        <v>1190</v>
      </c>
      <c r="F7" s="23">
        <f>ZonPaneel_3xBenQ!B11</f>
        <v>280.86</v>
      </c>
      <c r="G7" s="23">
        <f>ZonPaneel_18xKyocera2eh!F7</f>
        <v>263.10000000000036</v>
      </c>
      <c r="H7" s="23">
        <f t="shared" si="0"/>
        <v>7411.16</v>
      </c>
      <c r="I7" s="23">
        <f t="shared" si="1"/>
        <v>45.641333333333328</v>
      </c>
      <c r="J7" s="23">
        <f t="shared" si="2"/>
        <v>684.61999999999989</v>
      </c>
      <c r="K7" s="22">
        <f t="shared" si="3"/>
        <v>2246.7299999999996</v>
      </c>
    </row>
    <row r="8" spans="1:14">
      <c r="A8" s="3">
        <f>ZonPaneel_18xKyocera2eh!A8</f>
        <v>42156</v>
      </c>
      <c r="B8" s="23">
        <f>Zonpaneel_FR20!B80</f>
        <v>4243</v>
      </c>
      <c r="C8" s="23">
        <f>ZonPaneel_APS500!B26</f>
        <v>303.8</v>
      </c>
      <c r="D8" s="23">
        <f>ZonPaneel_Steca1800!B27</f>
        <v>1396</v>
      </c>
      <c r="E8" s="23">
        <f>ZonPaneel_7xAPS500!B23</f>
        <v>1380</v>
      </c>
      <c r="F8" s="23">
        <f>ZonPaneel_3xBenQ!B12</f>
        <v>343.3</v>
      </c>
      <c r="G8" s="23">
        <f>ZonPaneel_18xKyocera2eh!F8</f>
        <v>362.90000000000146</v>
      </c>
      <c r="H8" s="23">
        <f t="shared" si="0"/>
        <v>8029.0000000000018</v>
      </c>
      <c r="I8" s="23">
        <f t="shared" si="1"/>
        <v>38.615000000000123</v>
      </c>
      <c r="J8" s="23">
        <f t="shared" si="2"/>
        <v>617.84000000000196</v>
      </c>
      <c r="K8" s="22">
        <f t="shared" si="3"/>
        <v>2864.5700000000015</v>
      </c>
    </row>
    <row r="9" spans="1:14">
      <c r="A9" s="3">
        <f>ZonPaneel_18xKyocera2eh!A9</f>
        <v>42169</v>
      </c>
      <c r="B9" s="23">
        <f>Zonpaneel_FR20!B81</f>
        <v>4363</v>
      </c>
      <c r="C9" s="23">
        <f>ZonPaneel_APS500!B27</f>
        <v>332.7</v>
      </c>
      <c r="D9" s="23">
        <f>ZonPaneel_Steca1800!B28</f>
        <v>1537</v>
      </c>
      <c r="E9" s="23">
        <f>ZonPaneel_7xAPS500!B24</f>
        <v>1488</v>
      </c>
      <c r="F9" s="23">
        <f>ZonPaneel_3xBenQ!B13</f>
        <v>414.94</v>
      </c>
      <c r="G9" s="23">
        <f>ZonPaneel_18xKyocera2eh!F9</f>
        <v>467.5</v>
      </c>
      <c r="H9" s="23">
        <f t="shared" si="0"/>
        <v>8603.14</v>
      </c>
      <c r="I9" s="23">
        <f t="shared" si="1"/>
        <v>44.164615384615203</v>
      </c>
      <c r="J9" s="23">
        <f t="shared" si="2"/>
        <v>574.1399999999976</v>
      </c>
      <c r="K9" s="22">
        <f t="shared" si="3"/>
        <v>3438.7099999999991</v>
      </c>
    </row>
    <row r="10" spans="1:14">
      <c r="A10" s="3">
        <f>ZonPaneel_18xKyocera2eh!A10</f>
        <v>42193</v>
      </c>
      <c r="B10" s="23">
        <f>Zonpaneel_FR20!B82</f>
        <v>4573</v>
      </c>
      <c r="C10" s="23">
        <f>ZonPaneel_APS500!B28</f>
        <v>379.7</v>
      </c>
      <c r="D10" s="23">
        <f>ZonPaneel_Steca1800!B29</f>
        <v>1762</v>
      </c>
      <c r="E10" s="23">
        <f>ZonPaneel_7xAPS500!B25</f>
        <v>1938</v>
      </c>
      <c r="F10" s="23">
        <f>ZonPaneel_3xBenQ!B14</f>
        <v>528.29999999999995</v>
      </c>
      <c r="G10" s="23">
        <f>ZonPaneel_18xKyocera2eh!F10</f>
        <v>643.10000000000036</v>
      </c>
      <c r="H10" s="23">
        <f t="shared" si="0"/>
        <v>9824.1</v>
      </c>
      <c r="I10" s="23">
        <f t="shared" si="1"/>
        <v>50.87333333333337</v>
      </c>
      <c r="J10" s="23">
        <f t="shared" si="2"/>
        <v>1220.9600000000009</v>
      </c>
      <c r="K10" s="22">
        <f t="shared" si="3"/>
        <v>4659.67</v>
      </c>
    </row>
    <row r="11" spans="1:14">
      <c r="A11" s="3">
        <f>ZonPaneel_18xKyocera2eh!A11</f>
        <v>42203</v>
      </c>
      <c r="B11" s="23">
        <f>Zonpaneel_FR20!B83</f>
        <v>4650</v>
      </c>
      <c r="C11" s="23">
        <f>ZonPaneel_APS500!B29</f>
        <v>396.3</v>
      </c>
      <c r="D11" s="23">
        <f>ZonPaneel_Steca1800!B30</f>
        <v>1844</v>
      </c>
      <c r="E11" s="23">
        <f>ZonPaneel_7xAPS500!B26</f>
        <v>2062</v>
      </c>
      <c r="F11" s="23">
        <f>ZonPaneel_3xBenQ!B15</f>
        <v>570</v>
      </c>
      <c r="G11" s="23">
        <f>ZonPaneel_18xKyocera2eh!F11</f>
        <v>706.10000000000036</v>
      </c>
      <c r="H11" s="23">
        <f t="shared" si="0"/>
        <v>10228.4</v>
      </c>
      <c r="I11" s="23">
        <f t="shared" si="1"/>
        <v>40.429999999999929</v>
      </c>
      <c r="J11" s="23">
        <f t="shared" si="2"/>
        <v>404.29999999999927</v>
      </c>
      <c r="K11" s="22">
        <f t="shared" si="3"/>
        <v>5063.9699999999993</v>
      </c>
    </row>
    <row r="12" spans="1:14">
      <c r="A12" s="3">
        <f>ZonPaneel_18xKyocera2eh!A12</f>
        <v>42219</v>
      </c>
      <c r="B12" s="23">
        <f>Zonpaneel_FR20!B84</f>
        <v>4766</v>
      </c>
      <c r="C12" s="23">
        <f>ZonPaneel_APS500!B30</f>
        <v>424.2</v>
      </c>
      <c r="D12" s="23">
        <f>ZonPaneel_Steca1800!B31</f>
        <v>1974</v>
      </c>
      <c r="E12" s="23">
        <f>ZonPaneel_7xAPS500!B27</f>
        <v>2243</v>
      </c>
      <c r="F12" s="23">
        <f>ZonPaneel_3xBenQ!B16</f>
        <v>633</v>
      </c>
      <c r="G12" s="23">
        <f>ZonPaneel_18xKyocera2eh!F12</f>
        <v>792.60000000000036</v>
      </c>
      <c r="H12" s="23">
        <f t="shared" si="0"/>
        <v>10832.800000000001</v>
      </c>
      <c r="I12" s="23">
        <f t="shared" si="1"/>
        <v>37.775000000000091</v>
      </c>
      <c r="J12" s="23">
        <f t="shared" si="2"/>
        <v>604.40000000000146</v>
      </c>
      <c r="K12" s="22">
        <f t="shared" si="3"/>
        <v>5668.3700000000008</v>
      </c>
    </row>
    <row r="13" spans="1:14">
      <c r="A13" s="3">
        <f>ZonPaneel_18xKyocera2eh!A13</f>
        <v>42232</v>
      </c>
      <c r="B13" s="23">
        <f>Zonpaneel_FR20!B85</f>
        <v>4864</v>
      </c>
      <c r="C13" s="23">
        <f>ZonPaneel_APS500!B31</f>
        <v>445.1</v>
      </c>
      <c r="D13" s="23">
        <f>ZonPaneel_Steca1800!B32</f>
        <v>2079</v>
      </c>
      <c r="E13" s="23">
        <f>ZonPaneel_7xAPS500!B28</f>
        <v>2380.8000000000002</v>
      </c>
      <c r="F13" s="23">
        <f>ZonPaneel_3xBenQ!B17</f>
        <v>684</v>
      </c>
      <c r="G13" s="23">
        <f>ZonPaneel_18xKyocera2eh!F13</f>
        <v>859.20000000000073</v>
      </c>
      <c r="H13" s="23">
        <f t="shared" ref="H13" si="4">SUM(B13:G13)</f>
        <v>11312.100000000002</v>
      </c>
      <c r="I13" s="23">
        <f t="shared" ref="I13" si="5">(H13-H12)/(A13-A12)</f>
        <v>36.869230769230853</v>
      </c>
      <c r="J13" s="23">
        <f t="shared" ref="J13" si="6">H13-H12</f>
        <v>479.30000000000109</v>
      </c>
      <c r="K13" s="22">
        <f t="shared" ref="K13" si="7">J13+K12</f>
        <v>6147.6700000000019</v>
      </c>
      <c r="L13" s="22"/>
      <c r="M13" s="10"/>
    </row>
    <row r="14" spans="1:14">
      <c r="A14" s="3">
        <f>ZonPaneel_18xKyocera2eh!A14</f>
        <v>42245</v>
      </c>
      <c r="B14" s="23">
        <f>Zonpaneel_FR20!B86</f>
        <v>4939</v>
      </c>
      <c r="C14" s="23">
        <f>ZonPaneel_APS500!B32</f>
        <v>464</v>
      </c>
      <c r="D14" s="23">
        <f>ZonPaneel_Steca1800!B33</f>
        <v>2171</v>
      </c>
      <c r="E14" s="23">
        <f>ZonPaneel_7xAPS500!B29</f>
        <v>2479.4</v>
      </c>
      <c r="F14" s="23">
        <f>ZonPaneel_3xBenQ!B18</f>
        <v>726</v>
      </c>
      <c r="G14" s="23">
        <f>ZonPaneel_18xKyocera2eh!F14</f>
        <v>900.70000000000073</v>
      </c>
      <c r="H14" s="23">
        <f t="shared" ref="H14" si="8">SUM(B14:G14)</f>
        <v>11680.1</v>
      </c>
      <c r="I14" s="23">
        <f t="shared" ref="I14" si="9">(H14-H13)/(A14-A13)</f>
        <v>28.307692307692168</v>
      </c>
      <c r="J14" s="23">
        <f t="shared" ref="J14" si="10">H14-H13</f>
        <v>367.99999999999818</v>
      </c>
      <c r="K14" s="22">
        <f t="shared" ref="K14" si="11">J14+K13</f>
        <v>6515.67</v>
      </c>
    </row>
    <row r="15" spans="1:14">
      <c r="A15" s="3">
        <f>ZonPaneel_18xKyocera2eh!A15</f>
        <v>42284</v>
      </c>
      <c r="B15" s="23">
        <f>Zonpaneel_FR20!B87</f>
        <v>5186</v>
      </c>
      <c r="C15" s="23">
        <f>ZonPaneel_APS500!B33</f>
        <v>516.79999999999995</v>
      </c>
      <c r="D15" s="23">
        <f>ZonPaneel_Steca1800!B34</f>
        <v>2413</v>
      </c>
      <c r="E15" s="23">
        <f>ZonPaneel_7xAPS500!B30</f>
        <v>2699</v>
      </c>
      <c r="F15" s="23">
        <f>ZonPaneel_3xBenQ!B19</f>
        <v>825.33</v>
      </c>
      <c r="G15" s="23">
        <f>ZonPaneel_18xKyocera2eh!F15</f>
        <v>994.29999999999927</v>
      </c>
      <c r="H15" s="23">
        <f t="shared" ref="H15" si="12">SUM(B15:G15)</f>
        <v>12634.429999999998</v>
      </c>
      <c r="I15" s="23">
        <f t="shared" ref="I15" si="13">(H15-H14)/(A15-A14)</f>
        <v>24.469999999999953</v>
      </c>
      <c r="J15" s="23">
        <f t="shared" ref="J15" si="14">H15-H14</f>
        <v>954.32999999999811</v>
      </c>
      <c r="K15" s="22">
        <f t="shared" ref="K15" si="15">J15+K14</f>
        <v>7469.9999999999982</v>
      </c>
    </row>
    <row r="16" spans="1:14">
      <c r="A16" s="3">
        <f>ZonPaneel_18xKyocera2eh!A16</f>
        <v>42294</v>
      </c>
      <c r="B16" s="23">
        <f>Zonpaneel_FR20!B88</f>
        <v>5217</v>
      </c>
      <c r="C16" s="23">
        <f>ZonPaneel_APS500!B34</f>
        <v>523</v>
      </c>
      <c r="D16" s="23">
        <f>ZonPaneel_Steca1800!B35</f>
        <v>2440</v>
      </c>
      <c r="E16" s="23">
        <f>ZonPaneel_7xAPS500!B31</f>
        <v>2721</v>
      </c>
      <c r="F16" s="23">
        <f>ZonPaneel_3xBenQ!B20</f>
        <v>836</v>
      </c>
      <c r="G16" s="23">
        <f>ZonPaneel_18xKyocera2eh!F16</f>
        <v>1006.6999999999989</v>
      </c>
      <c r="H16" s="23">
        <f t="shared" ref="H16" si="16">SUM(B16:G16)</f>
        <v>12743.699999999999</v>
      </c>
      <c r="I16" s="23">
        <f t="shared" ref="I16" si="17">(H16-H15)/(A16-A15)</f>
        <v>10.927000000000044</v>
      </c>
      <c r="J16" s="23">
        <f t="shared" ref="J16" si="18">H16-H15</f>
        <v>109.27000000000044</v>
      </c>
      <c r="K16" s="22">
        <f t="shared" ref="K16" si="19">J16+K15</f>
        <v>7579.2699999999986</v>
      </c>
    </row>
    <row r="17" spans="1:12">
      <c r="A17" s="3">
        <f>ZonPaneel_18xKyocera2eh!A17</f>
        <v>42309</v>
      </c>
      <c r="B17" s="23">
        <f>Zonpaneel_FR20!B89</f>
        <v>5261</v>
      </c>
      <c r="C17" s="23">
        <f>ZonPaneel_APS500!B35</f>
        <v>532.4</v>
      </c>
      <c r="D17" s="23">
        <f>ZonPaneel_Steca1800!B36</f>
        <v>2476</v>
      </c>
      <c r="E17" s="23">
        <f>ZonPaneel_7xAPS500!B32</f>
        <v>2758.4</v>
      </c>
      <c r="F17" s="23">
        <f>ZonPaneel_3xBenQ!B21</f>
        <v>851.6</v>
      </c>
      <c r="G17" s="23">
        <f>ZonPaneel_18xKyocera2eh!F17</f>
        <v>1022.6000000000004</v>
      </c>
      <c r="H17" s="23">
        <f t="shared" ref="H17" si="20">SUM(B17:G17)</f>
        <v>12902</v>
      </c>
      <c r="I17" s="23">
        <f t="shared" ref="I17" si="21">(H17-H16)/(A17-A16)</f>
        <v>10.553333333333406</v>
      </c>
      <c r="J17" s="23">
        <f t="shared" ref="J17" si="22">H17-H16</f>
        <v>158.30000000000109</v>
      </c>
      <c r="K17" s="22">
        <f t="shared" ref="K17" si="23">J17+K16</f>
        <v>7737.57</v>
      </c>
    </row>
    <row r="18" spans="1:12">
      <c r="A18" s="3">
        <f>ZonPaneel_18xKyocera2eh!A18</f>
        <v>42322</v>
      </c>
      <c r="B18" s="23">
        <f>Zonpaneel_FR20!B90</f>
        <v>5283</v>
      </c>
      <c r="C18" s="23">
        <f>ZonPaneel_APS500!B36</f>
        <v>537.20000000000005</v>
      </c>
      <c r="D18" s="23">
        <f>ZonPaneel_Steca1800!B37</f>
        <v>2496</v>
      </c>
      <c r="E18" s="23">
        <f>ZonPaneel_7xAPS500!B33</f>
        <v>2781.15</v>
      </c>
      <c r="F18" s="23">
        <f>ZonPaneel_3xBenQ!B22</f>
        <v>859.8</v>
      </c>
      <c r="G18" s="23">
        <f>ZonPaneel_18xKyocera2eh!F18</f>
        <v>1033.3000000000011</v>
      </c>
      <c r="H18" s="23">
        <f t="shared" ref="H18" si="24">SUM(B18:G18)</f>
        <v>12990.45</v>
      </c>
      <c r="I18" s="23">
        <f t="shared" ref="I18" si="25">(H18-H17)/(A18-A17)</f>
        <v>6.8038461538462096</v>
      </c>
      <c r="J18" s="23">
        <f t="shared" ref="J18" si="26">H18-H17</f>
        <v>88.450000000000728</v>
      </c>
      <c r="K18" s="22">
        <f t="shared" ref="K18" si="27">J18+K17</f>
        <v>7826.02</v>
      </c>
    </row>
    <row r="19" spans="1:12">
      <c r="A19" s="3">
        <f>ZonPaneel_18xKyocera2eh!A19</f>
        <v>42358</v>
      </c>
      <c r="B19" s="23">
        <f>Zonpaneel_FR20!B91</f>
        <v>5330</v>
      </c>
      <c r="C19" s="23">
        <f>ZonPaneel_APS500!B37</f>
        <v>549.5</v>
      </c>
      <c r="D19" s="23">
        <f>ZonPaneel_Steca1800!B38</f>
        <v>2539</v>
      </c>
      <c r="E19" s="23">
        <f>ZonPaneel_7xAPS500!B34</f>
        <v>2827.26</v>
      </c>
      <c r="F19" s="23">
        <f>ZonPaneel_3xBenQ!B23</f>
        <v>877</v>
      </c>
      <c r="G19" s="23">
        <f>ZonPaneel_18xKyocera2eh!F19</f>
        <v>1050.7999999999993</v>
      </c>
      <c r="H19" s="23">
        <f t="shared" ref="H19" si="28">SUM(B19:G19)</f>
        <v>13173.56</v>
      </c>
      <c r="I19" s="23">
        <f t="shared" ref="I19" si="29">(H19-H18)/(A19-A18)</f>
        <v>5.0863888888888544</v>
      </c>
      <c r="J19" s="23">
        <f t="shared" ref="J19" si="30">H19-H18</f>
        <v>183.10999999999876</v>
      </c>
      <c r="K19" s="22">
        <f t="shared" ref="K19" si="31">J19+K18</f>
        <v>8009.1299999999992</v>
      </c>
    </row>
    <row r="20" spans="1:12">
      <c r="A20" s="3">
        <f>ZonPaneel_18xKyocera2eh!A20</f>
        <v>42371</v>
      </c>
      <c r="B20" s="23">
        <f>Zonpaneel_FR20!B92</f>
        <v>5348</v>
      </c>
      <c r="C20" s="23">
        <f>ZonPaneel_APS500!B38</f>
        <v>554.29999999999995</v>
      </c>
      <c r="D20" s="23">
        <f>ZonPaneel_Steca1800!B39</f>
        <v>2552</v>
      </c>
      <c r="E20" s="23">
        <f>ZonPaneel_7xAPS500!B35</f>
        <v>2843.85</v>
      </c>
      <c r="F20" s="23">
        <f>ZonPaneel_3xBenQ!B24</f>
        <v>883.38</v>
      </c>
      <c r="G20" s="23">
        <f>ZonPaneel_18xKyocera2eh!F20</f>
        <v>1056.5</v>
      </c>
      <c r="H20" s="23">
        <f t="shared" ref="H20" si="32">SUM(B20:G20)</f>
        <v>13238.029999999999</v>
      </c>
      <c r="I20" s="23">
        <f t="shared" ref="I20" si="33">(H20-H19)/(A20-A19)</f>
        <v>4.9592307692307189</v>
      </c>
      <c r="J20" s="23">
        <f t="shared" ref="J20" si="34">H20-H19</f>
        <v>64.469999999999345</v>
      </c>
      <c r="K20" s="22">
        <f t="shared" ref="K20" si="35">J20+K19</f>
        <v>8073.5999999999985</v>
      </c>
    </row>
    <row r="21" spans="1:12">
      <c r="A21" s="3">
        <f>ZonPaneel_18xKyocera2eh!A21</f>
        <v>42386</v>
      </c>
      <c r="B21" s="23">
        <f>Zonpaneel_FR20!B93</f>
        <v>5366</v>
      </c>
      <c r="C21" s="23">
        <f>ZonPaneel_APS500!B39</f>
        <v>559.1</v>
      </c>
      <c r="D21" s="23">
        <f>ZonPaneel_Steca1800!B40</f>
        <v>2562</v>
      </c>
      <c r="E21" s="23">
        <f>ZonPaneel_7xAPS500!B36</f>
        <v>2860.45</v>
      </c>
      <c r="F21" s="23">
        <f>ZonPaneel_3xBenQ!B25</f>
        <v>889.42</v>
      </c>
      <c r="G21" s="23">
        <f>ZonPaneel_18xKyocera2eh!F21</f>
        <v>1062.9000000000015</v>
      </c>
      <c r="H21" s="23">
        <f t="shared" ref="H21" si="36">SUM(B21:G21)</f>
        <v>13299.87</v>
      </c>
      <c r="I21" s="23">
        <f t="shared" ref="I21" si="37">(H21-H20)/(A21-A20)</f>
        <v>4.1226666666667979</v>
      </c>
      <c r="J21" s="23">
        <f t="shared" ref="J21" si="38">H21-H20</f>
        <v>61.840000000001965</v>
      </c>
      <c r="K21" s="22">
        <f t="shared" ref="K21" si="39">J21+K20</f>
        <v>8135.4400000000005</v>
      </c>
    </row>
    <row r="22" spans="1:12">
      <c r="A22" s="3">
        <f>ZonPaneel_18xKyocera2eh!A22</f>
        <v>42403</v>
      </c>
      <c r="B22" s="23">
        <f>Zonpaneel_FR20!B94</f>
        <v>5392</v>
      </c>
      <c r="C22" s="23">
        <f>ZonPaneel_APS500!B40</f>
        <v>565.6</v>
      </c>
      <c r="D22" s="23">
        <f>ZonPaneel_Steca1800!B41</f>
        <v>2575</v>
      </c>
      <c r="E22" s="23">
        <f>ZonPaneel_7xAPS500!B37</f>
        <v>2883.72</v>
      </c>
      <c r="F22" s="23">
        <f>ZonPaneel_3xBenQ!B26</f>
        <v>898.4</v>
      </c>
      <c r="G22" s="23">
        <f>ZonPaneel_18xKyocera2eh!F22</f>
        <v>1071.1000000000004</v>
      </c>
      <c r="H22" s="23">
        <f t="shared" ref="H22" si="40">SUM(B22:G22)</f>
        <v>13385.82</v>
      </c>
      <c r="I22" s="23">
        <f t="shared" ref="I22" si="41">(H22-H21)/(A22-A21)</f>
        <v>5.0558823529411123</v>
      </c>
      <c r="J22" s="23">
        <f t="shared" ref="J22" si="42">H22-H21</f>
        <v>85.949999999998909</v>
      </c>
      <c r="K22" s="22">
        <f t="shared" ref="K22" si="43">J22+K21</f>
        <v>8221.39</v>
      </c>
    </row>
    <row r="23" spans="1:12">
      <c r="A23" s="3">
        <f>ZonPaneel_18xKyocera2eh!A23</f>
        <v>42422</v>
      </c>
      <c r="B23" s="23">
        <f>Zonpaneel_FR20!B95</f>
        <v>5451</v>
      </c>
      <c r="C23" s="23">
        <f>ZonPaneel_APS500!B41</f>
        <v>577.79999999999995</v>
      </c>
      <c r="D23" s="23">
        <f>ZonPaneel_Steca1800!B42</f>
        <v>2590.1999999999994</v>
      </c>
      <c r="E23" s="23">
        <f>ZonPaneel_7xAPS500!B38</f>
        <v>2933.81</v>
      </c>
      <c r="F23" s="23">
        <f>ZonPaneel_3xBenQ!B27</f>
        <v>918.4</v>
      </c>
      <c r="G23" s="23">
        <f>ZonPaneel_18xKyocera2eh!F23</f>
        <v>1088.1999999999989</v>
      </c>
      <c r="H23" s="23">
        <f t="shared" ref="H23" si="44">SUM(B23:G23)</f>
        <v>13559.409999999998</v>
      </c>
      <c r="I23" s="23">
        <f t="shared" ref="I23" si="45">(H23-H22)/(A23-A22)</f>
        <v>9.1363157894735956</v>
      </c>
      <c r="J23" s="23">
        <f t="shared" ref="J23" si="46">H23-H22</f>
        <v>173.58999999999833</v>
      </c>
      <c r="K23" s="22">
        <f t="shared" ref="K23" si="47">J23+K22</f>
        <v>8394.9799999999977</v>
      </c>
    </row>
    <row r="24" spans="1:12">
      <c r="A24" s="3">
        <f>ZonPaneel_Steca1800!A43</f>
        <v>42430</v>
      </c>
      <c r="B24" s="23">
        <f>Zonpaneel_FR20!B96</f>
        <v>5497</v>
      </c>
      <c r="C24" s="23">
        <f>ZonPaneel_APS500!B42</f>
        <v>587.29999999999995</v>
      </c>
      <c r="D24" s="23">
        <f>ZonPaneel_Steca1800!B43</f>
        <v>2615.1999999999994</v>
      </c>
      <c r="E24" s="23">
        <f>ZonPaneel_7xAPS500!B39</f>
        <v>2966.19</v>
      </c>
      <c r="F24" s="23">
        <f>ZonPaneel_3xBenQ!B28</f>
        <v>933.38</v>
      </c>
      <c r="G24" s="23">
        <f>ZonPaneel_18xKyocera2eh!F24</f>
        <v>1097.7999999999993</v>
      </c>
      <c r="H24" s="23">
        <f t="shared" ref="H24" si="48">SUM(B24:G24)</f>
        <v>13696.869999999999</v>
      </c>
      <c r="I24" s="23">
        <f t="shared" ref="I24" si="49">(H24-H23)/(A24-A23)</f>
        <v>17.182500000000118</v>
      </c>
      <c r="J24" s="23">
        <f t="shared" ref="J24" si="50">H24-H23</f>
        <v>137.46000000000095</v>
      </c>
      <c r="K24" s="22">
        <f t="shared" ref="K24" si="51">J24+K23</f>
        <v>8532.4399999999987</v>
      </c>
    </row>
    <row r="25" spans="1:12">
      <c r="A25" s="3">
        <f>ZonPaneel_Steca1800!A44</f>
        <v>42444</v>
      </c>
      <c r="B25" s="23">
        <f>Zonpaneel_FR20!B97</f>
        <v>5576</v>
      </c>
      <c r="C25" s="23">
        <f>ZonPaneel_APS500!B43</f>
        <v>603.70000000000005</v>
      </c>
      <c r="D25" s="23">
        <f>ZonPaneel_Steca1800!B44</f>
        <v>2690.1999999999994</v>
      </c>
      <c r="E25" s="23">
        <f>ZonPaneel_7xAPS500!B40</f>
        <v>3039.69</v>
      </c>
      <c r="F25" s="23">
        <f>ZonPaneel_3xBenQ!B29</f>
        <v>964.09</v>
      </c>
      <c r="G25" s="23">
        <f>ZonPaneel_18xKyocera2eh!F25</f>
        <v>1121.7999999999993</v>
      </c>
      <c r="H25" s="23">
        <f t="shared" ref="H25" si="52">SUM(B25:G25)</f>
        <v>13995.48</v>
      </c>
      <c r="I25" s="23">
        <f t="shared" ref="I25" si="53">(H25-H24)/(A25-A24)</f>
        <v>21.329285714285756</v>
      </c>
      <c r="J25" s="23">
        <f t="shared" ref="J25" si="54">H25-H24</f>
        <v>298.61000000000058</v>
      </c>
      <c r="K25" s="22">
        <f t="shared" ref="K25" si="55">J25+K24</f>
        <v>8831.0499999999993</v>
      </c>
      <c r="L25">
        <f>(K25-K2)/(A25-A2)*365</f>
        <v>8806.9214480874307</v>
      </c>
    </row>
    <row r="26" spans="1:12">
      <c r="A26" s="3">
        <f>ZonPaneel_Steca1800!A45</f>
        <v>42461</v>
      </c>
      <c r="B26" s="23">
        <f>Zonpaneel_FR20!B98</f>
        <v>5661</v>
      </c>
      <c r="C26" s="23">
        <f>ZonPaneel_APS500!B44</f>
        <v>622.9</v>
      </c>
      <c r="D26" s="23">
        <f>ZonPaneel_Steca1800!B45</f>
        <v>2780.1999999999994</v>
      </c>
      <c r="E26" s="23">
        <f>ZonPaneel_7xAPS500!B41</f>
        <v>3141</v>
      </c>
      <c r="F26" s="23">
        <f>ZonPaneel_3xBenQ!B30</f>
        <v>1003.7</v>
      </c>
      <c r="G26" s="23">
        <f>ZonPaneel_18xKyocera2eh!F26</f>
        <v>1161.7000000000007</v>
      </c>
      <c r="H26" s="23">
        <f t="shared" ref="H26" si="56">SUM(B26:G26)</f>
        <v>14370.5</v>
      </c>
      <c r="I26" s="23">
        <f t="shared" ref="I26" si="57">(H26-H25)/(A26-A25)</f>
        <v>22.060000000000027</v>
      </c>
      <c r="J26" s="23">
        <f t="shared" ref="J26" si="58">H26-H25</f>
        <v>375.02000000000044</v>
      </c>
      <c r="K26" s="22">
        <f t="shared" ref="K26" si="59">J26+K25</f>
        <v>9206.07</v>
      </c>
      <c r="L26">
        <f t="shared" ref="L26:L27" si="60">(K26-K3)/(A26-A3)*365</f>
        <v>8804.1226519336997</v>
      </c>
    </row>
    <row r="27" spans="1:12">
      <c r="A27" s="3">
        <f>ZonPaneel_Steca1800!A46</f>
        <v>42478</v>
      </c>
      <c r="B27" s="23">
        <f>Zonpaneel_FR20!B99</f>
        <v>5779</v>
      </c>
      <c r="C27" s="23">
        <f>ZonPaneel_APS500!B45</f>
        <v>650.9</v>
      </c>
      <c r="D27" s="23">
        <f>ZonPaneel_Steca1800!B46</f>
        <v>2916.1999999999994</v>
      </c>
      <c r="E27" s="23">
        <f>ZonPaneel_7xAPS500!B42</f>
        <v>3300</v>
      </c>
      <c r="F27" s="23">
        <f>ZonPaneel_3xBenQ!B31</f>
        <v>1064.5999999999999</v>
      </c>
      <c r="G27" s="23">
        <f>ZonPaneel_18xKyocera2eh!F27</f>
        <v>1222.5000000000018</v>
      </c>
      <c r="H27" s="23">
        <f t="shared" ref="H27" si="61">SUM(B27:G27)</f>
        <v>14933.2</v>
      </c>
      <c r="I27" s="23">
        <f t="shared" ref="I27" si="62">(H27-H26)/(A27-A26)</f>
        <v>33.100000000000044</v>
      </c>
      <c r="J27" s="23">
        <f t="shared" ref="J27" si="63">H27-H26</f>
        <v>562.70000000000073</v>
      </c>
      <c r="K27" s="22">
        <f t="shared" ref="K27" si="64">J27+K26</f>
        <v>9768.77</v>
      </c>
      <c r="L27">
        <f t="shared" si="60"/>
        <v>8788.4185636856364</v>
      </c>
    </row>
    <row r="28" spans="1:12">
      <c r="A28" s="3">
        <f>ZonPaneel_Steca1800!A47</f>
        <v>42493</v>
      </c>
      <c r="B28" s="23">
        <f>Zonpaneel_FR20!B100</f>
        <v>5882</v>
      </c>
      <c r="C28" s="23">
        <f>ZonPaneel_APS500!B46</f>
        <v>676.4</v>
      </c>
      <c r="D28" s="23">
        <f>ZonPaneel_Steca1800!B47</f>
        <v>3038.1999999999994</v>
      </c>
      <c r="E28" s="23">
        <f>ZonPaneel_7xAPS500!B43</f>
        <v>3477.29</v>
      </c>
      <c r="F28" s="23">
        <f>ZonPaneel_3xBenQ!B32</f>
        <v>1126.8</v>
      </c>
      <c r="G28" s="23">
        <f>ZonPaneel_18xKyocera2eh!F28</f>
        <v>1293.9000000000015</v>
      </c>
      <c r="H28" s="23">
        <f t="shared" ref="H28" si="65">SUM(B28:G28)</f>
        <v>15494.59</v>
      </c>
      <c r="I28" s="23">
        <f t="shared" ref="I28" si="66">(H28-H27)/(A28-A27)</f>
        <v>37.425999999999959</v>
      </c>
      <c r="J28" s="23">
        <f t="shared" ref="J28" si="67">H28-H27</f>
        <v>561.38999999999942</v>
      </c>
      <c r="K28" s="22">
        <f t="shared" ref="K28" si="68">J28+K27</f>
        <v>10330.16</v>
      </c>
      <c r="L28">
        <f>(K28-K6)/(A28-A6)*365</f>
        <v>8696.5713315217381</v>
      </c>
    </row>
    <row r="29" spans="1:12">
      <c r="A29" s="3">
        <f>ZonPaneel_Steca1800!A48</f>
        <v>42506</v>
      </c>
      <c r="B29" s="23">
        <f>Zonpaneel_FR20!B101</f>
        <v>6020</v>
      </c>
      <c r="C29" s="23">
        <f>ZonPaneel_APS500!B47</f>
        <v>706.4</v>
      </c>
      <c r="D29" s="23">
        <f>ZonPaneel_Steca1800!B48</f>
        <v>3185.1999999999994</v>
      </c>
      <c r="E29" s="23">
        <f>ZonPaneel_7xAPS500!B44</f>
        <v>3655.28</v>
      </c>
      <c r="F29" s="23">
        <f>ZonPaneel_3xBenQ!B33</f>
        <v>1191.7</v>
      </c>
      <c r="G29" s="23">
        <f>ZonPaneel_18xKyocera2eh!F29</f>
        <v>1364.1000000000004</v>
      </c>
      <c r="H29" s="23">
        <f t="shared" ref="H29" si="69">SUM(B29:G29)</f>
        <v>16122.68</v>
      </c>
      <c r="I29" s="23">
        <f t="shared" ref="I29" si="70">(H29-H28)/(A29-A28)</f>
        <v>48.314615384615394</v>
      </c>
      <c r="J29" s="23">
        <f t="shared" ref="J29" si="71">H29-H28</f>
        <v>628.09000000000015</v>
      </c>
      <c r="K29" s="22">
        <f t="shared" ref="K29" si="72">J29+K28</f>
        <v>10958.25</v>
      </c>
      <c r="L29">
        <f>(K29-K7)/(A29-A7)*365</f>
        <v>8687.7180327868846</v>
      </c>
    </row>
    <row r="30" spans="1:12">
      <c r="A30" s="3">
        <f>ZonPaneel_Steca1800!A49</f>
        <v>42522</v>
      </c>
      <c r="B30" s="23">
        <f>Zonpaneel_FR20!B102</f>
        <v>6100</v>
      </c>
      <c r="C30" s="23">
        <f>ZonPaneel_APS500!B48</f>
        <v>724.9</v>
      </c>
      <c r="D30" s="23">
        <f>ZonPaneel_Steca1800!B49</f>
        <v>3270.1999999999994</v>
      </c>
      <c r="E30" s="23">
        <f>ZonPaneel_7xAPS500!B45</f>
        <v>3792.34</v>
      </c>
      <c r="F30" s="23">
        <f>ZonPaneel_3xBenQ!B34</f>
        <v>1235.9000000000001</v>
      </c>
      <c r="G30" s="23">
        <f>ZonPaneel_18xKyocera2eh!F30</f>
        <v>1452.5</v>
      </c>
      <c r="H30" s="23">
        <f t="shared" ref="H30" si="73">SUM(B30:G30)</f>
        <v>16575.839999999997</v>
      </c>
      <c r="I30" s="23">
        <f t="shared" ref="I30" si="74">(H30-H29)/(A30-A29)</f>
        <v>28.322499999999764</v>
      </c>
      <c r="J30" s="23">
        <f t="shared" ref="J30" si="75">H30-H29</f>
        <v>453.15999999999622</v>
      </c>
      <c r="K30" s="22">
        <f t="shared" ref="K30" si="76">J30+K29</f>
        <v>11411.409999999996</v>
      </c>
      <c r="L30">
        <f>(K30-K8)/(A30-A8)*365</f>
        <v>8523.4879781420714</v>
      </c>
    </row>
    <row r="31" spans="1:12">
      <c r="A31" s="3">
        <f>ZonPaneel_Steca1800!A50</f>
        <v>42552</v>
      </c>
      <c r="B31" s="23">
        <f>Zonpaneel_FR20!B103</f>
        <v>6305</v>
      </c>
      <c r="C31" s="23">
        <f>ZonPaneel_APS500!B49</f>
        <v>771.5</v>
      </c>
      <c r="D31" s="23">
        <f>ZonPaneel_Steca1800!B50</f>
        <v>3489.1999999999994</v>
      </c>
      <c r="E31" s="23">
        <f>ZonPaneel_7xAPS500!B46</f>
        <v>4134.3</v>
      </c>
      <c r="F31" s="23">
        <f>ZonPaneel_3xBenQ!B35</f>
        <v>1348.9</v>
      </c>
      <c r="G31" s="23">
        <f>ZonPaneel_18xKyocera2eh!F31</f>
        <v>1640</v>
      </c>
      <c r="H31" s="23">
        <f t="shared" ref="H31" si="77">SUM(B31:G31)</f>
        <v>17688.900000000001</v>
      </c>
      <c r="I31" s="23">
        <f t="shared" ref="I31" si="78">(H31-H30)/(A31-A30)</f>
        <v>37.102000000000167</v>
      </c>
      <c r="J31" s="23">
        <f t="shared" ref="J31" si="79">H31-H30</f>
        <v>1113.0600000000049</v>
      </c>
      <c r="K31" s="22">
        <f t="shared" ref="K31" si="80">J31+K30</f>
        <v>12524.470000000001</v>
      </c>
      <c r="L31">
        <f>(K31-K10)/(A31-A10)*365</f>
        <v>7996.2451253481913</v>
      </c>
    </row>
    <row r="32" spans="1:12">
      <c r="A32" s="3">
        <f>ZonPaneel_Steca1800!A51</f>
        <v>42585</v>
      </c>
      <c r="B32" s="23">
        <f>Zonpaneel_FR20!B104</f>
        <v>6550</v>
      </c>
      <c r="C32" s="23">
        <f>ZonPaneel_APS500!B50</f>
        <v>825.3</v>
      </c>
      <c r="D32" s="23">
        <f>ZonPaneel_Steca1800!B51</f>
        <v>3747.1999999999994</v>
      </c>
      <c r="E32" s="23">
        <f>ZonPaneel_7xAPS500!B47</f>
        <v>4513.09</v>
      </c>
      <c r="F32" s="23">
        <f>ZonPaneel_3xBenQ!B36</f>
        <v>1478.5</v>
      </c>
      <c r="G32" s="23">
        <f>ZonPaneel_18xKyocera2eh!F32</f>
        <v>1847.8000000000011</v>
      </c>
      <c r="H32" s="23">
        <f t="shared" ref="H32" si="81">SUM(B32:G32)</f>
        <v>18961.89</v>
      </c>
      <c r="I32" s="23">
        <f t="shared" ref="I32" si="82">(H32-H31)/(A32-A31)</f>
        <v>38.575454545454484</v>
      </c>
      <c r="J32" s="23">
        <f t="shared" ref="J32" si="83">H32-H31</f>
        <v>1272.989999999998</v>
      </c>
      <c r="K32" s="22">
        <f t="shared" ref="K32" si="84">J32+K31</f>
        <v>13797.46</v>
      </c>
      <c r="L32">
        <f>(K32-K12)/(A32-A12)*365</f>
        <v>8106.8793715846969</v>
      </c>
    </row>
    <row r="33" spans="1:12">
      <c r="A33" s="3">
        <f>ZonPaneel_Steca1800!A52</f>
        <v>42619</v>
      </c>
      <c r="B33" s="23">
        <f>Zonpaneel_FR20!B105</f>
        <v>6811</v>
      </c>
      <c r="C33" s="23">
        <f>ZonPaneel_APS500!B51</f>
        <v>881.5</v>
      </c>
      <c r="D33" s="23">
        <f>ZonPaneel_Steca1800!B52</f>
        <v>4026.1999999999994</v>
      </c>
      <c r="E33" s="23">
        <f>ZonPaneel_7xAPS500!B48</f>
        <v>4809.3</v>
      </c>
      <c r="F33" s="23">
        <f>ZonPaneel_3xBenQ!B37</f>
        <v>1607.3</v>
      </c>
      <c r="G33" s="23">
        <f>ZonPaneel_18xKyocera2eh!F33</f>
        <v>1997.3999999999996</v>
      </c>
      <c r="H33" s="23">
        <f t="shared" ref="H33" si="85">SUM(B33:G33)</f>
        <v>20132.699999999997</v>
      </c>
      <c r="I33" s="23">
        <f t="shared" ref="I33" si="86">(H33-H32)/(A33-A32)</f>
        <v>34.435588235294048</v>
      </c>
      <c r="J33" s="23">
        <f t="shared" ref="J33" si="87">H33-H32</f>
        <v>1170.8099999999977</v>
      </c>
      <c r="K33" s="22">
        <f t="shared" ref="K33" si="88">J33+K32</f>
        <v>14968.269999999997</v>
      </c>
      <c r="L33">
        <f>(K33-K14)/(A33-A14)*365</f>
        <v>8249.1951871657711</v>
      </c>
    </row>
    <row r="34" spans="1:12">
      <c r="A34" s="3">
        <f>ZonPaneel_Steca1800!A53</f>
        <v>42644</v>
      </c>
      <c r="B34" s="23">
        <f>Zonpaneel_FR20!B106</f>
        <v>7007</v>
      </c>
      <c r="C34" s="23">
        <f>ZonPaneel_APS500!B52</f>
        <v>922.1</v>
      </c>
      <c r="D34" s="23">
        <f>ZonPaneel_Steca1800!B53</f>
        <v>4214.1999999999989</v>
      </c>
      <c r="E34" s="23">
        <f>ZonPaneel_7xAPS500!B49</f>
        <v>4936.75</v>
      </c>
      <c r="F34" s="23">
        <f>ZonPaneel_3xBenQ!B38</f>
        <v>1677.7</v>
      </c>
      <c r="G34" s="23">
        <f>ZonPaneel_18xKyocera2eh!F34</f>
        <v>2053.4000000000015</v>
      </c>
      <c r="H34" s="23">
        <f t="shared" ref="H34" si="89">SUM(B34:G34)</f>
        <v>20811.150000000001</v>
      </c>
      <c r="I34" s="23">
        <f t="shared" ref="I34" si="90">(H34-H33)/(A34-A33)</f>
        <v>27.138000000000176</v>
      </c>
      <c r="J34" s="23">
        <f t="shared" ref="J34" si="91">H34-H33</f>
        <v>678.45000000000437</v>
      </c>
      <c r="K34" s="22">
        <f t="shared" ref="K34" si="92">J34+K33</f>
        <v>15646.720000000001</v>
      </c>
      <c r="L34">
        <f>(K34-K15)/(A34-A15)*365</f>
        <v>8290.2855555555579</v>
      </c>
    </row>
    <row r="35" spans="1:12">
      <c r="A35" s="3">
        <v>42675</v>
      </c>
      <c r="B35" s="23">
        <f>Zonpaneel_FR20!B107</f>
        <v>7115</v>
      </c>
      <c r="C35" s="23">
        <f>ZonPaneel_APS500!B53</f>
        <v>943.6</v>
      </c>
      <c r="D35" s="23">
        <f>ZonPaneel_Steca1800!B54</f>
        <v>4301.1999999999989</v>
      </c>
      <c r="E35" s="23">
        <f>ZonPaneel_7xAPS500!B50</f>
        <v>5019.21</v>
      </c>
      <c r="F35" s="23">
        <f>ZonPaneel_3xBenQ!B39</f>
        <v>1713.2</v>
      </c>
      <c r="G35" s="23">
        <f>ZonPaneel_18xKyocera2eh!F35</f>
        <v>2094.1000000000004</v>
      </c>
      <c r="H35" s="23">
        <f t="shared" ref="H35" si="93">SUM(B35:G35)</f>
        <v>21186.309999999998</v>
      </c>
      <c r="I35" s="23">
        <f t="shared" ref="I35" si="94">(H35-H34)/(A35-A34)</f>
        <v>12.101935483870845</v>
      </c>
      <c r="J35" s="23">
        <f t="shared" ref="J35" si="95">H35-H34</f>
        <v>375.15999999999622</v>
      </c>
      <c r="K35" s="22">
        <f t="shared" ref="K35" si="96">J35+K34</f>
        <v>16021.879999999997</v>
      </c>
      <c r="L35">
        <f>(K35-K17)/(A35-A17)*365</f>
        <v>8261.675273224042</v>
      </c>
    </row>
    <row r="36" spans="1:12">
      <c r="A36" s="3">
        <f>ZonPaneel_Steca1800!A55</f>
        <v>42746</v>
      </c>
      <c r="B36" s="23">
        <f>Zonpaneel_FR20!B108</f>
        <v>7203</v>
      </c>
      <c r="C36" s="23">
        <f>ZonPaneel_APS500!B54</f>
        <v>966.2</v>
      </c>
      <c r="D36" s="23">
        <f>ZonPaneel_Steca1800!B55</f>
        <v>4380.1999999999989</v>
      </c>
      <c r="E36" s="23">
        <f>ZonPaneel_7xAPS500!B51</f>
        <v>5100.87</v>
      </c>
      <c r="F36" s="23">
        <f>ZonPaneel_3xBenQ!B40</f>
        <v>1744.6</v>
      </c>
      <c r="G36" s="23">
        <f>ZonPaneel_18xKyocera2eh!F36</f>
        <v>2130.1000000000004</v>
      </c>
      <c r="H36" s="23">
        <f t="shared" ref="H36" si="97">SUM(B36:G36)</f>
        <v>21524.969999999994</v>
      </c>
      <c r="I36" s="23">
        <f t="shared" ref="I36" si="98">(H36-H35)/(A36-A35)</f>
        <v>4.7698591549295246</v>
      </c>
      <c r="J36" s="23">
        <f t="shared" ref="J36" si="99">H36-H35</f>
        <v>338.65999999999622</v>
      </c>
      <c r="K36" s="22">
        <f t="shared" ref="K36" si="100">J36+K35</f>
        <v>16360.539999999994</v>
      </c>
      <c r="L36">
        <f>(K36-K21)/(A36-A21)*365</f>
        <v>8339.3374999999942</v>
      </c>
    </row>
    <row r="37" spans="1:12">
      <c r="A37" s="3">
        <f>ZonPaneel_Steca1800!A56</f>
        <v>42767</v>
      </c>
      <c r="B37" s="23">
        <f>Zonpaneel_FR20!B109</f>
        <v>7240</v>
      </c>
      <c r="C37" s="23">
        <f>ZonPaneel_APS500!B55</f>
        <v>975.3</v>
      </c>
      <c r="D37" s="23">
        <f>ZonPaneel_Steca1800!B56</f>
        <v>4413.1999999999989</v>
      </c>
      <c r="E37" s="23">
        <f>ZonPaneel_7xAPS500!B52</f>
        <v>5130.49</v>
      </c>
      <c r="F37" s="23">
        <f>ZonPaneel_3xBenQ!B41</f>
        <v>1757.3</v>
      </c>
      <c r="G37" s="23">
        <f>ZonPaneel_18xKyocera2eh!F37</f>
        <v>2141.5000000000018</v>
      </c>
      <c r="H37" s="23">
        <f t="shared" ref="H37" si="101">SUM(B37:G37)</f>
        <v>21657.79</v>
      </c>
      <c r="I37" s="23">
        <f t="shared" ref="I37" si="102">(H37-H36)/(A37-A36)</f>
        <v>6.3247619047622372</v>
      </c>
      <c r="J37" s="23">
        <f t="shared" ref="J37" si="103">H37-H36</f>
        <v>132.82000000000698</v>
      </c>
      <c r="K37" s="22">
        <f t="shared" ref="K37" si="104">J37+K36</f>
        <v>16493.36</v>
      </c>
      <c r="L37">
        <f>(K37-K22)/(A37-A22)*365</f>
        <v>8294.695192307694</v>
      </c>
    </row>
    <row r="38" spans="1:12">
      <c r="A38" s="3">
        <f>ZonPaneel_Steca1800!A57</f>
        <v>42795</v>
      </c>
      <c r="B38" s="23">
        <f>Zonpaneel_FR20!B110</f>
        <v>7301</v>
      </c>
      <c r="C38" s="23">
        <f>ZonPaneel_APS500!B56</f>
        <v>988.4</v>
      </c>
      <c r="D38" s="23">
        <f>ZonPaneel_Steca1800!B57</f>
        <v>4468.1999999999989</v>
      </c>
      <c r="E38" s="23">
        <f>ZonPaneel_7xAPS500!B53</f>
        <v>5194.6899999999996</v>
      </c>
      <c r="F38" s="23">
        <f>ZonPaneel_3xBenQ!B42</f>
        <v>1780.1</v>
      </c>
      <c r="G38" s="23">
        <f>ZonPaneel_18xKyocera2eh!F38</f>
        <v>2168</v>
      </c>
      <c r="H38" s="23">
        <f t="shared" ref="H38" si="105">SUM(B38:G38)</f>
        <v>21900.389999999996</v>
      </c>
      <c r="I38" s="23">
        <f t="shared" ref="I38" si="106">(H38-H37)/(A38-A37)</f>
        <v>8.6642857142855316</v>
      </c>
      <c r="J38" s="23">
        <f t="shared" ref="J38" si="107">H38-H37</f>
        <v>242.59999999999491</v>
      </c>
      <c r="K38" s="22">
        <f t="shared" ref="K38" si="108">J38+K37</f>
        <v>16735.959999999995</v>
      </c>
      <c r="L38">
        <f>(K38-K24)/(A38-A24)*365</f>
        <v>8203.5199999999968</v>
      </c>
    </row>
    <row r="39" spans="1:12">
      <c r="A39" s="3">
        <f>ZonPaneel_Steca1800!A58</f>
        <v>42826</v>
      </c>
      <c r="B39" s="23">
        <f>Zonpaneel_FR20!B111</f>
        <v>7487</v>
      </c>
      <c r="C39" s="23">
        <f>ZonPaneel_APS500!B57</f>
        <v>1029</v>
      </c>
      <c r="D39" s="23">
        <f>ZonPaneel_Steca1800!B58</f>
        <v>4655.1999999999989</v>
      </c>
      <c r="E39" s="23">
        <f>ZonPaneel_7xAPS500!B54</f>
        <v>5355.69</v>
      </c>
      <c r="F39" s="23">
        <f>ZonPaneel_3xBenQ!B43</f>
        <v>1855.1799999999998</v>
      </c>
      <c r="G39" s="23">
        <f>ZonPaneel_18xKyocera2eh!F39</f>
        <v>2230.2000000000007</v>
      </c>
      <c r="H39" s="23">
        <f t="shared" ref="H39" si="109">SUM(B39:G39)</f>
        <v>22612.27</v>
      </c>
      <c r="I39" s="23">
        <f t="shared" ref="I39" si="110">(H39-H38)/(A39-A38)</f>
        <v>22.963870967742086</v>
      </c>
      <c r="J39" s="23">
        <f t="shared" ref="J39" si="111">H39-H38</f>
        <v>711.88000000000466</v>
      </c>
      <c r="K39" s="22">
        <f t="shared" ref="K39" si="112">J39+K38</f>
        <v>17447.84</v>
      </c>
      <c r="L39">
        <f>(K39-K26)/(A39-A26)*365</f>
        <v>8241.77</v>
      </c>
    </row>
    <row r="40" spans="1:12">
      <c r="A40" s="3">
        <f>ZonPaneel_Steca1800!A59</f>
        <v>42887</v>
      </c>
      <c r="B40" s="23">
        <f>Zonpaneel_FR20!B112</f>
        <v>7930</v>
      </c>
      <c r="C40" s="23">
        <f>ZonPaneel_APS500!B58</f>
        <v>1128.2</v>
      </c>
      <c r="D40" s="23">
        <f>ZonPaneel_Steca1800!B59</f>
        <v>5128.1999999999989</v>
      </c>
      <c r="E40" s="23">
        <f>ZonPaneel_7xAPS500!B55</f>
        <v>5957.55</v>
      </c>
      <c r="F40" s="23">
        <f>ZonPaneel_3xBenQ!B44</f>
        <v>2078.3000000000002</v>
      </c>
      <c r="G40" s="23">
        <f>ZonPaneel_18xKyocera2eh!F40</f>
        <v>2526.8000000000011</v>
      </c>
      <c r="H40" s="23">
        <f t="shared" ref="H40" si="113">SUM(B40:G40)</f>
        <v>24749.050000000003</v>
      </c>
      <c r="I40" s="23">
        <f t="shared" ref="I40" si="114">(H40-H39)/(A40-A39)</f>
        <v>35.029180327868893</v>
      </c>
      <c r="J40" s="23">
        <f t="shared" ref="J40" si="115">H40-H39</f>
        <v>2136.7800000000025</v>
      </c>
      <c r="K40" s="22">
        <f t="shared" ref="K40" si="116">J40+K39</f>
        <v>19584.620000000003</v>
      </c>
      <c r="L40">
        <f>(K40-K30)/(A40-A30)*365</f>
        <v>8173.2100000000064</v>
      </c>
    </row>
    <row r="41" spans="1:12">
      <c r="A41" s="3"/>
    </row>
    <row r="42" spans="1:12">
      <c r="A42" s="3"/>
    </row>
    <row r="43" spans="1:12">
      <c r="A43" s="3"/>
    </row>
    <row r="44" spans="1:12">
      <c r="A44" s="3"/>
    </row>
    <row r="45" spans="1:12">
      <c r="A45" s="3"/>
    </row>
    <row r="46" spans="1:12">
      <c r="A46" s="3"/>
    </row>
    <row r="47" spans="1:12">
      <c r="A47" s="3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Zonpaneel_FR20</vt:lpstr>
      <vt:lpstr>ZonPaneel_APS500</vt:lpstr>
      <vt:lpstr>ZonPaneel_Steca1800</vt:lpstr>
      <vt:lpstr>ZonPaneel_7xAPS500</vt:lpstr>
      <vt:lpstr>ZonPaneel_3xBenQ</vt:lpstr>
      <vt:lpstr>ZonPaneel_18xKyocera2eh</vt:lpstr>
      <vt:lpstr>InvloedBomen</vt:lpstr>
      <vt:lpstr>AllePanelen</vt:lpstr>
    </vt:vector>
  </TitlesOfParts>
  <Company>OEBV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van der Steen</dc:creator>
  <cp:lastModifiedBy>Marcel van der Steen</cp:lastModifiedBy>
  <dcterms:created xsi:type="dcterms:W3CDTF">2014-09-16T04:04:27Z</dcterms:created>
  <dcterms:modified xsi:type="dcterms:W3CDTF">2017-06-08T07:14:24Z</dcterms:modified>
</cp:coreProperties>
</file>