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<sst xmlns="http://schemas.openxmlformats.org/spreadsheetml/2006/main" count="39" uniqueCount="39">
  <si>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Verwachte prijsstijging per jaar</t>
  </si>
  <si>
    <t>Aantal Winddelen</t>
  </si>
  <si>
    <t>Jaar</t>
  </si>
  <si>
    <t>Waarde van geproduceerde energie</t>
  </si>
  <si>
    <t>Totaal jaarlijkse voordeel</t>
  </si>
  <si>
    <t>ROI</t>
  </si>
  <si>
    <t>Cashflow</t>
  </si>
  <si>
    <t>Terug verdien flags</t>
  </si>
  <si>
    <t>Totale waarde energie</t>
  </si>
  <si>
    <t>Controle IRR</t>
  </si>
  <si>
    <t>Input</t>
  </si>
  <si>
    <t>Energieprijs</t>
  </si>
  <si>
    <t>Onderhoudskosten</t>
  </si>
  <si>
    <t>variabel std.</t>
  </si>
  <si>
    <t>NUON</t>
  </si>
  <si>
    <t>Eneco</t>
  </si>
  <si>
    <t>Essent</t>
  </si>
  <si>
    <t>Winddeel</t>
  </si>
  <si>
    <t>kwh</t>
  </si>
  <si>
    <t>`onderhoudskosten</t>
  </si>
  <si>
    <t>Invullen</t>
  </si>
  <si>
    <t>Totale "voordeel"</t>
  </si>
  <si>
    <t>check 7 juni 2013</t>
  </si>
  <si>
    <t>NCW onderhoudskosten</t>
  </si>
  <si>
    <t>Inflatie</t>
  </si>
  <si>
    <t>Kosten per kWh</t>
  </si>
  <si>
    <t>Saldo</t>
  </si>
  <si>
    <t>INVOER</t>
  </si>
  <si>
    <t>ACHTERLIGGENDE BEREKENING</t>
  </si>
  <si>
    <t xml:space="preserve">Kosten Winddelen </t>
  </si>
  <si>
    <t>Totale onderhoudskosten</t>
  </si>
  <si>
    <t>Terugverdientijd</t>
  </si>
  <si>
    <t>Rendement (IRR)</t>
  </si>
  <si>
    <t>Stroomprijs die je nu betaalt*</t>
  </si>
  <si>
    <t>*gemiddelde van variabele stroomprijzen van Essent, Eneco en Nuon</t>
  </si>
  <si>
    <t>UITKOMST</t>
  </si>
  <si>
    <t>Alle bedragen zijn incl. BTW</t>
  </si>
  <si>
    <t>Jaarlijkse onderhoudsbijdrage</t>
  </si>
  <si>
    <t>Investering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</si>
</sst>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.00_-"/>
    <numFmt numFmtId="173" formatCode="0.0%"/>
    <numFmt numFmtId="174" formatCode="dd\ mmm\ yy"/>
    <numFmt numFmtId="175" formatCode="&quot;€&quot;\ #,##0_-"/>
    <numFmt numFmtId="176" formatCode="&quot;€&quot;#,##0.00000"/>
    <numFmt numFmtId="177" formatCode="&quot;€&quot;\ #,##0.00000_-"/>
    <numFmt numFmtId="178" formatCode="#,##0.0000_-"/>
    <numFmt numFmtId="179" formatCode="0.0000"/>
    <numFmt numFmtId="180" formatCode="&quot;€&quot;#,##0"/>
    <numFmt numFmtId="181" formatCode="_(* #,##0.00_);_(* \(#,##0.00\);_(* &quot;-&quot;_);_(@_)"/>
    <numFmt numFmtId="182" formatCode="0.000"/>
    <numFmt numFmtId="183" formatCode="&quot;€&quot;\ #,##0.000_-"/>
    <numFmt numFmtId="184" formatCode="#,##0.00_-"/>
    <numFmt numFmtId="185" formatCode="mmm/yyyy"/>
    <numFmt numFmtId="186" formatCode="&quot;€&quot;#,##0.0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0"/>
    </font>
    <font>
      <sz val="10"/>
      <color indexed="12"/>
      <name val="Calibri"/>
      <family val="0"/>
    </font>
    <font>
      <b/>
      <sz val="10"/>
      <name val="Calibri"/>
      <family val="0"/>
    </font>
    <font>
      <b/>
      <i/>
      <sz val="10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0"/>
    </font>
    <font>
      <sz val="10"/>
      <color indexed="17"/>
      <name val="Calibri"/>
      <family val="0"/>
    </font>
    <font>
      <b/>
      <sz val="10"/>
      <color indexed="9"/>
      <name val="Calibri"/>
      <family val="0"/>
    </font>
    <font>
      <i/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3F3F3F"/>
      <name val="Calibri"/>
      <family val="0"/>
    </font>
    <font>
      <sz val="10"/>
      <color rgb="FF006100"/>
      <name val="Calibri"/>
      <family val="0"/>
    </font>
    <font>
      <b/>
      <sz val="10"/>
      <color theme="0"/>
      <name val="Calibri"/>
      <family val="0"/>
    </font>
    <font>
      <i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/>
      <top style="thin"/>
      <bottom style="thin">
        <color theme="1" tint="0.49998000264167786"/>
      </bottom>
    </border>
    <border>
      <left style="thin"/>
      <right style="thin">
        <color theme="1" tint="0.49998000264167786"/>
      </right>
      <top style="thin"/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/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/>
    </border>
    <border>
      <left style="thin"/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" fillId="0" borderId="0" xfId="55" applyFont="1" applyFill="1">
      <alignment/>
      <protection/>
    </xf>
    <xf numFmtId="173" fontId="4" fillId="0" borderId="0" xfId="58" applyNumberFormat="1" applyFont="1" applyFill="1" applyAlignment="1">
      <alignment/>
    </xf>
    <xf numFmtId="172" fontId="5" fillId="0" borderId="0" xfId="55" applyNumberFormat="1" applyFont="1" applyFill="1" applyBorder="1">
      <alignment/>
      <protection/>
    </xf>
    <xf numFmtId="1" fontId="5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10" fontId="4" fillId="0" borderId="0" xfId="58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180" fontId="4" fillId="34" borderId="0" xfId="0" applyNumberFormat="1" applyFont="1" applyFill="1" applyBorder="1" applyAlignment="1">
      <alignment horizontal="center"/>
    </xf>
    <xf numFmtId="180" fontId="4" fillId="33" borderId="0" xfId="0" applyNumberFormat="1" applyFont="1" applyFill="1" applyBorder="1" applyAlignment="1">
      <alignment horizontal="center"/>
    </xf>
    <xf numFmtId="172" fontId="4" fillId="35" borderId="10" xfId="59" applyNumberFormat="1" applyFont="1" applyFill="1" applyBorder="1">
      <alignment/>
      <protection/>
    </xf>
    <xf numFmtId="172" fontId="4" fillId="34" borderId="10" xfId="59" applyNumberFormat="1" applyFont="1" applyFill="1" applyBorder="1">
      <alignment/>
      <protection/>
    </xf>
    <xf numFmtId="2" fontId="4" fillId="35" borderId="0" xfId="59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5" fillId="0" borderId="11" xfId="55" applyFont="1" applyFill="1" applyBorder="1" applyAlignment="1">
      <alignment/>
      <protection/>
    </xf>
    <xf numFmtId="0" fontId="4" fillId="0" borderId="11" xfId="0" applyFont="1" applyFill="1" applyBorder="1" applyAlignment="1">
      <alignment/>
    </xf>
    <xf numFmtId="176" fontId="4" fillId="0" borderId="0" xfId="40" applyNumberFormat="1" applyFont="1" applyFill="1" applyBorder="1" applyAlignment="1">
      <alignment horizontal="center"/>
    </xf>
    <xf numFmtId="175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2" fontId="48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183" fontId="48" fillId="0" borderId="0" xfId="0" applyNumberFormat="1" applyFont="1" applyAlignment="1">
      <alignment/>
    </xf>
    <xf numFmtId="173" fontId="49" fillId="27" borderId="8" xfId="57" applyNumberFormat="1" applyFont="1" applyAlignment="1">
      <alignment/>
    </xf>
    <xf numFmtId="182" fontId="48" fillId="0" borderId="0" xfId="60" applyNumberFormat="1" applyFont="1">
      <alignment/>
      <protection/>
    </xf>
    <xf numFmtId="176" fontId="48" fillId="0" borderId="0" xfId="0" applyNumberFormat="1" applyFont="1" applyAlignment="1">
      <alignment/>
    </xf>
    <xf numFmtId="177" fontId="48" fillId="0" borderId="0" xfId="0" applyNumberFormat="1" applyFont="1" applyAlignment="1">
      <alignment/>
    </xf>
    <xf numFmtId="0" fontId="48" fillId="34" borderId="0" xfId="0" applyFont="1" applyFill="1" applyAlignment="1">
      <alignment/>
    </xf>
    <xf numFmtId="178" fontId="50" fillId="29" borderId="0" xfId="47" applyNumberFormat="1" applyFont="1" applyBorder="1" applyAlignment="1">
      <alignment horizontal="center"/>
    </xf>
    <xf numFmtId="178" fontId="50" fillId="34" borderId="0" xfId="47" applyNumberFormat="1" applyFont="1" applyFill="1" applyBorder="1" applyAlignment="1">
      <alignment horizontal="center"/>
    </xf>
    <xf numFmtId="179" fontId="50" fillId="29" borderId="0" xfId="47" applyNumberFormat="1" applyFont="1" applyBorder="1" applyAlignment="1">
      <alignment horizontal="center"/>
    </xf>
    <xf numFmtId="179" fontId="50" fillId="34" borderId="0" xfId="47" applyNumberFormat="1" applyFont="1" applyFill="1" applyBorder="1" applyAlignment="1">
      <alignment horizontal="center"/>
    </xf>
    <xf numFmtId="2" fontId="48" fillId="34" borderId="0" xfId="0" applyNumberFormat="1" applyFont="1" applyFill="1" applyAlignment="1">
      <alignment/>
    </xf>
    <xf numFmtId="9" fontId="48" fillId="0" borderId="0" xfId="58" applyFont="1" applyAlignment="1">
      <alignment/>
    </xf>
    <xf numFmtId="9" fontId="4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2" fontId="5" fillId="0" borderId="12" xfId="55" applyNumberFormat="1" applyFont="1" applyFill="1" applyBorder="1" applyAlignment="1">
      <alignment horizontal="right"/>
      <protection/>
    </xf>
    <xf numFmtId="0" fontId="4" fillId="0" borderId="12" xfId="55" applyFont="1" applyFill="1" applyBorder="1" applyAlignment="1">
      <alignment horizontal="right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172" fontId="4" fillId="0" borderId="12" xfId="55" applyNumberFormat="1" applyFont="1" applyFill="1" applyBorder="1" applyAlignment="1">
      <alignment horizontal="right"/>
      <protection/>
    </xf>
    <xf numFmtId="0" fontId="4" fillId="0" borderId="14" xfId="55" applyFont="1" applyFill="1" applyBorder="1" applyAlignment="1">
      <alignment horizontal="right"/>
      <protection/>
    </xf>
    <xf numFmtId="173" fontId="5" fillId="0" borderId="14" xfId="58" applyNumberFormat="1" applyFont="1" applyFill="1" applyBorder="1" applyAlignment="1">
      <alignment horizontal="right"/>
    </xf>
    <xf numFmtId="173" fontId="5" fillId="0" borderId="15" xfId="58" applyNumberFormat="1" applyFont="1" applyFill="1" applyBorder="1" applyAlignment="1">
      <alignment horizontal="right"/>
    </xf>
    <xf numFmtId="172" fontId="5" fillId="0" borderId="14" xfId="55" applyNumberFormat="1" applyFont="1" applyFill="1" applyBorder="1" applyAlignment="1">
      <alignment horizontal="right"/>
      <protection/>
    </xf>
    <xf numFmtId="186" fontId="4" fillId="0" borderId="12" xfId="55" applyNumberFormat="1" applyFont="1" applyFill="1" applyBorder="1" applyAlignment="1">
      <alignment horizontal="right"/>
      <protection/>
    </xf>
    <xf numFmtId="186" fontId="4" fillId="0" borderId="13" xfId="55" applyNumberFormat="1" applyFont="1" applyFill="1" applyBorder="1" applyAlignment="1">
      <alignment horizontal="right"/>
      <protection/>
    </xf>
    <xf numFmtId="186" fontId="4" fillId="0" borderId="12" xfId="58" applyNumberFormat="1" applyFont="1" applyFill="1" applyBorder="1" applyAlignment="1">
      <alignment horizontal="right"/>
    </xf>
    <xf numFmtId="186" fontId="4" fillId="0" borderId="13" xfId="58" applyNumberFormat="1" applyFont="1" applyFill="1" applyBorder="1" applyAlignment="1">
      <alignment horizontal="right"/>
    </xf>
    <xf numFmtId="186" fontId="5" fillId="0" borderId="12" xfId="55" applyNumberFormat="1" applyFont="1" applyFill="1" applyBorder="1" applyAlignment="1">
      <alignment horizontal="right"/>
      <protection/>
    </xf>
    <xf numFmtId="186" fontId="5" fillId="0" borderId="13" xfId="55" applyNumberFormat="1" applyFont="1" applyFill="1" applyBorder="1" applyAlignment="1">
      <alignment horizontal="right"/>
      <protection/>
    </xf>
    <xf numFmtId="186" fontId="5" fillId="0" borderId="14" xfId="55" applyNumberFormat="1" applyFont="1" applyFill="1" applyBorder="1" applyAlignment="1">
      <alignment horizontal="right"/>
      <protection/>
    </xf>
    <xf numFmtId="186" fontId="5" fillId="0" borderId="15" xfId="55" applyNumberFormat="1" applyFont="1" applyFill="1" applyBorder="1" applyAlignment="1">
      <alignment horizontal="right"/>
      <protection/>
    </xf>
    <xf numFmtId="0" fontId="7" fillId="0" borderId="16" xfId="55" applyFont="1" applyFill="1" applyBorder="1" applyAlignment="1">
      <alignment horizontal="right"/>
      <protection/>
    </xf>
    <xf numFmtId="0" fontId="7" fillId="0" borderId="16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0" fontId="7" fillId="0" borderId="18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/>
      <protection/>
    </xf>
    <xf numFmtId="0" fontId="7" fillId="0" borderId="20" xfId="55" applyFont="1" applyFill="1" applyBorder="1" applyAlignment="1">
      <alignment horizontal="left"/>
      <protection/>
    </xf>
    <xf numFmtId="0" fontId="7" fillId="0" borderId="18" xfId="55" applyFont="1" applyFill="1" applyBorder="1">
      <alignment/>
      <protection/>
    </xf>
    <xf numFmtId="0" fontId="7" fillId="0" borderId="19" xfId="55" applyFont="1" applyFill="1" applyBorder="1">
      <alignment/>
      <protection/>
    </xf>
    <xf numFmtId="0" fontId="8" fillId="0" borderId="19" xfId="55" applyFont="1" applyFill="1" applyBorder="1">
      <alignment/>
      <protection/>
    </xf>
    <xf numFmtId="0" fontId="8" fillId="0" borderId="20" xfId="55" applyFont="1" applyFill="1" applyBorder="1">
      <alignment/>
      <protection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21" xfId="55" applyFont="1" applyFill="1" applyBorder="1" applyAlignment="1">
      <alignment/>
      <protection/>
    </xf>
    <xf numFmtId="0" fontId="4" fillId="0" borderId="21" xfId="0" applyFont="1" applyFill="1" applyBorder="1" applyAlignment="1">
      <alignment/>
    </xf>
    <xf numFmtId="0" fontId="7" fillId="0" borderId="11" xfId="55" applyFont="1" applyFill="1" applyBorder="1" applyAlignment="1">
      <alignment/>
      <protection/>
    </xf>
    <xf numFmtId="0" fontId="7" fillId="0" borderId="22" xfId="0" applyFont="1" applyFill="1" applyBorder="1" applyAlignment="1">
      <alignment/>
    </xf>
    <xf numFmtId="1" fontId="51" fillId="36" borderId="23" xfId="55" applyNumberFormat="1" applyFont="1" applyFill="1" applyBorder="1" applyAlignment="1">
      <alignment/>
      <protection/>
    </xf>
    <xf numFmtId="1" fontId="51" fillId="36" borderId="24" xfId="55" applyNumberFormat="1" applyFont="1" applyFill="1" applyBorder="1" applyAlignment="1">
      <alignment/>
      <protection/>
    </xf>
    <xf numFmtId="0" fontId="51" fillId="36" borderId="23" xfId="0" applyFont="1" applyFill="1" applyBorder="1" applyAlignment="1">
      <alignment/>
    </xf>
    <xf numFmtId="186" fontId="4" fillId="0" borderId="13" xfId="0" applyNumberFormat="1" applyFont="1" applyFill="1" applyBorder="1" applyAlignment="1">
      <alignment horizontal="right"/>
    </xf>
    <xf numFmtId="2" fontId="4" fillId="0" borderId="13" xfId="55" applyNumberFormat="1" applyFont="1" applyFill="1" applyBorder="1" applyAlignment="1">
      <alignment horizontal="right"/>
      <protection/>
    </xf>
    <xf numFmtId="10" fontId="4" fillId="0" borderId="13" xfId="58" applyNumberFormat="1" applyFont="1" applyFill="1" applyBorder="1" applyAlignment="1">
      <alignment horizontal="right"/>
    </xf>
    <xf numFmtId="186" fontId="4" fillId="0" borderId="15" xfId="0" applyNumberFormat="1" applyFont="1" applyFill="1" applyBorder="1" applyAlignment="1">
      <alignment horizontal="right"/>
    </xf>
    <xf numFmtId="9" fontId="4" fillId="8" borderId="13" xfId="0" applyNumberFormat="1" applyFont="1" applyFill="1" applyBorder="1" applyAlignment="1">
      <alignment horizontal="right"/>
    </xf>
    <xf numFmtId="0" fontId="4" fillId="8" borderId="13" xfId="0" applyFont="1" applyFill="1" applyBorder="1" applyAlignment="1">
      <alignment horizontal="right"/>
    </xf>
    <xf numFmtId="174" fontId="7" fillId="0" borderId="16" xfId="55" applyNumberFormat="1" applyFont="1" applyFill="1" applyBorder="1" applyAlignment="1">
      <alignment horizontal="right"/>
      <protection/>
    </xf>
    <xf numFmtId="174" fontId="7" fillId="0" borderId="17" xfId="55" applyNumberFormat="1" applyFont="1" applyFill="1" applyBorder="1" applyAlignment="1">
      <alignment horizontal="right"/>
      <protection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1" fillId="36" borderId="25" xfId="0" applyFont="1" applyFill="1" applyBorder="1" applyAlignment="1">
      <alignment horizontal="center"/>
    </xf>
    <xf numFmtId="0" fontId="51" fillId="36" borderId="26" xfId="0" applyFont="1" applyFill="1" applyBorder="1" applyAlignment="1">
      <alignment horizontal="center"/>
    </xf>
    <xf numFmtId="0" fontId="51" fillId="36" borderId="27" xfId="0" applyFont="1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176" fontId="4" fillId="2" borderId="15" xfId="4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lantvoordelen.xls" xfId="55"/>
    <cellStyle name="Note" xfId="56"/>
    <cellStyle name="Output" xfId="57"/>
    <cellStyle name="Percent" xfId="58"/>
    <cellStyle name="Standaard 2" xfId="59"/>
    <cellStyle name="Standaard 3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showGridLines="0" tabSelected="1" workbookViewId="0" topLeftCell="A1">
      <selection activeCell="E5" sqref="E5"/>
    </sheetView>
  </sheetViews>
  <sheetFormatPr defaultColWidth="11.00390625" defaultRowHeight="15.75"/>
  <cols>
    <col min="1" max="1" width="6.00390625" style="3" customWidth="1"/>
    <col min="2" max="2" width="28.50390625" style="3" customWidth="1"/>
    <col min="3" max="3" width="13.375" style="3" customWidth="1"/>
    <col min="4" max="15" width="14.125" style="3" customWidth="1"/>
    <col min="16" max="16384" width="10.875" style="3" customWidth="1"/>
  </cols>
  <sheetData>
    <row r="1" ht="13.5">
      <c r="B1" s="3" t="s">
        <v>36</v>
      </c>
    </row>
    <row r="2" spans="1:22" ht="15" customHeight="1">
      <c r="A2" s="1"/>
      <c r="J2" s="7"/>
      <c r="K2" s="7"/>
      <c r="L2" s="7"/>
      <c r="M2" s="7"/>
      <c r="N2" s="7"/>
      <c r="O2" s="7"/>
      <c r="P2" s="1"/>
      <c r="Q2" s="1"/>
      <c r="R2" s="1"/>
      <c r="S2" s="1"/>
      <c r="T2" s="1"/>
      <c r="U2" s="2"/>
      <c r="V2" s="2"/>
    </row>
    <row r="3" spans="1:23" ht="15.75" customHeight="1">
      <c r="A3" s="1"/>
      <c r="B3" s="77"/>
      <c r="C3" s="91" t="s">
        <v>27</v>
      </c>
      <c r="D3" s="1"/>
      <c r="E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</row>
    <row r="4" spans="1:23" ht="13.5">
      <c r="A4" s="1"/>
      <c r="B4" s="68" t="s">
        <v>0</v>
      </c>
      <c r="C4" s="82">
        <v>0.03</v>
      </c>
      <c r="D4" s="1"/>
      <c r="E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</row>
    <row r="5" spans="1:23" ht="13.5">
      <c r="A5" s="1"/>
      <c r="B5" s="68" t="s">
        <v>1</v>
      </c>
      <c r="C5" s="83">
        <v>3</v>
      </c>
      <c r="D5" s="1"/>
      <c r="E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</row>
    <row r="6" spans="1:23" ht="13.5">
      <c r="A6" s="1"/>
      <c r="B6" s="69" t="s">
        <v>33</v>
      </c>
      <c r="C6" s="92">
        <f>AVERAGE(C81:C83)</f>
        <v>0.08460000000000001</v>
      </c>
      <c r="D6" s="39" t="s">
        <v>34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</row>
    <row r="7" spans="1:23" ht="13.5">
      <c r="A7" s="1"/>
      <c r="C7" s="21"/>
      <c r="D7" s="21"/>
      <c r="E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</row>
    <row r="8" spans="1:22" ht="15" customHeight="1">
      <c r="A8" s="1"/>
      <c r="B8" s="18"/>
      <c r="C8" s="21"/>
      <c r="D8" s="1"/>
      <c r="E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</row>
    <row r="9" spans="1:22" ht="13.5">
      <c r="A9" s="1"/>
      <c r="B9" s="88" t="s">
        <v>28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1"/>
      <c r="Q9" s="1"/>
      <c r="R9" s="1"/>
      <c r="S9" s="1"/>
      <c r="T9" s="1"/>
      <c r="U9" s="2"/>
      <c r="V9" s="2"/>
    </row>
    <row r="10" spans="1:22" ht="13.5">
      <c r="A10" s="1"/>
      <c r="B10" s="60"/>
      <c r="C10" s="57"/>
      <c r="D10" s="58">
        <v>2014</v>
      </c>
      <c r="E10" s="58">
        <f>D10+1</f>
        <v>2015</v>
      </c>
      <c r="F10" s="58">
        <f>E10+1</f>
        <v>2016</v>
      </c>
      <c r="G10" s="58">
        <f aca="true" t="shared" si="0" ref="G10:O10">F10+1</f>
        <v>2017</v>
      </c>
      <c r="H10" s="58">
        <f t="shared" si="0"/>
        <v>2018</v>
      </c>
      <c r="I10" s="58">
        <f t="shared" si="0"/>
        <v>2019</v>
      </c>
      <c r="J10" s="58">
        <f>I10+1</f>
        <v>2020</v>
      </c>
      <c r="K10" s="58">
        <f t="shared" si="0"/>
        <v>2021</v>
      </c>
      <c r="L10" s="58">
        <f t="shared" si="0"/>
        <v>2022</v>
      </c>
      <c r="M10" s="58">
        <f t="shared" si="0"/>
        <v>2023</v>
      </c>
      <c r="N10" s="58">
        <f t="shared" si="0"/>
        <v>2024</v>
      </c>
      <c r="O10" s="59">
        <f t="shared" si="0"/>
        <v>2025</v>
      </c>
      <c r="P10" s="1"/>
      <c r="Q10" s="1"/>
      <c r="R10" s="1"/>
      <c r="S10" s="1"/>
      <c r="T10" s="1"/>
      <c r="U10" s="2"/>
      <c r="V10" s="2"/>
    </row>
    <row r="11" spans="1:22" ht="13.5">
      <c r="A11" s="1"/>
      <c r="B11" s="61" t="s">
        <v>2</v>
      </c>
      <c r="C11" s="41"/>
      <c r="D11" s="42">
        <v>1</v>
      </c>
      <c r="E11" s="42">
        <f>D11+1</f>
        <v>2</v>
      </c>
      <c r="F11" s="42">
        <f>E11+1</f>
        <v>3</v>
      </c>
      <c r="G11" s="42">
        <f aca="true" t="shared" si="1" ref="G11:O11">F11+1</f>
        <v>4</v>
      </c>
      <c r="H11" s="42">
        <f t="shared" si="1"/>
        <v>5</v>
      </c>
      <c r="I11" s="42">
        <f t="shared" si="1"/>
        <v>6</v>
      </c>
      <c r="J11" s="42">
        <f>I11+1</f>
        <v>7</v>
      </c>
      <c r="K11" s="42">
        <f t="shared" si="1"/>
        <v>8</v>
      </c>
      <c r="L11" s="42">
        <f t="shared" si="1"/>
        <v>9</v>
      </c>
      <c r="M11" s="42">
        <f t="shared" si="1"/>
        <v>10</v>
      </c>
      <c r="N11" s="42">
        <f t="shared" si="1"/>
        <v>11</v>
      </c>
      <c r="O11" s="43">
        <f t="shared" si="1"/>
        <v>12</v>
      </c>
      <c r="P11" s="1"/>
      <c r="Q11" s="1"/>
      <c r="R11" s="1"/>
      <c r="S11" s="1"/>
      <c r="T11" s="1"/>
      <c r="U11" s="2"/>
      <c r="V11" s="2"/>
    </row>
    <row r="12" spans="1:22" ht="13.5">
      <c r="A12" s="1"/>
      <c r="B12" s="62" t="s">
        <v>37</v>
      </c>
      <c r="C12" s="49"/>
      <c r="D12" s="49">
        <f aca="true" t="shared" si="2" ref="D12:O12">D72*$C$5</f>
        <v>0</v>
      </c>
      <c r="E12" s="49">
        <f t="shared" si="2"/>
        <v>0</v>
      </c>
      <c r="F12" s="49">
        <f t="shared" si="2"/>
        <v>-81</v>
      </c>
      <c r="G12" s="49">
        <f t="shared" si="2"/>
        <v>-81</v>
      </c>
      <c r="H12" s="49">
        <f t="shared" si="2"/>
        <v>-81</v>
      </c>
      <c r="I12" s="49">
        <f t="shared" si="2"/>
        <v>-81</v>
      </c>
      <c r="J12" s="49">
        <f t="shared" si="2"/>
        <v>-81</v>
      </c>
      <c r="K12" s="49">
        <f t="shared" si="2"/>
        <v>-87</v>
      </c>
      <c r="L12" s="49">
        <f t="shared" si="2"/>
        <v>-87</v>
      </c>
      <c r="M12" s="49">
        <f t="shared" si="2"/>
        <v>-87</v>
      </c>
      <c r="N12" s="49">
        <f t="shared" si="2"/>
        <v>-87</v>
      </c>
      <c r="O12" s="50">
        <f t="shared" si="2"/>
        <v>-87</v>
      </c>
      <c r="P12" s="1"/>
      <c r="Q12" s="1"/>
      <c r="R12" s="1"/>
      <c r="S12" s="1"/>
      <c r="T12" s="1"/>
      <c r="U12" s="2"/>
      <c r="V12" s="2"/>
    </row>
    <row r="13" spans="1:22" ht="13.5">
      <c r="A13" s="1"/>
      <c r="B13" s="62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1"/>
      <c r="Q13" s="1"/>
      <c r="R13" s="1"/>
      <c r="S13" s="1"/>
      <c r="T13" s="1"/>
      <c r="U13" s="2"/>
      <c r="V13" s="2"/>
    </row>
    <row r="14" spans="1:22" ht="13.5">
      <c r="A14" s="1"/>
      <c r="B14" s="62" t="s">
        <v>3</v>
      </c>
      <c r="C14" s="49"/>
      <c r="D14" s="51">
        <f aca="true" t="shared" si="3" ref="D14:O14">D71*$C$89*$C$5</f>
        <v>126.9</v>
      </c>
      <c r="E14" s="51">
        <f t="shared" si="3"/>
        <v>130.707</v>
      </c>
      <c r="F14" s="51">
        <f t="shared" si="3"/>
        <v>134.62821000000002</v>
      </c>
      <c r="G14" s="51">
        <f t="shared" si="3"/>
        <v>138.6670563</v>
      </c>
      <c r="H14" s="51">
        <f t="shared" si="3"/>
        <v>142.827067989</v>
      </c>
      <c r="I14" s="51">
        <f t="shared" si="3"/>
        <v>147.11188002867002</v>
      </c>
      <c r="J14" s="51">
        <f t="shared" si="3"/>
        <v>151.52523642953008</v>
      </c>
      <c r="K14" s="51">
        <f t="shared" si="3"/>
        <v>156.07099352241602</v>
      </c>
      <c r="L14" s="51">
        <f t="shared" si="3"/>
        <v>160.7531233280885</v>
      </c>
      <c r="M14" s="51">
        <f t="shared" si="3"/>
        <v>165.57571702793115</v>
      </c>
      <c r="N14" s="51">
        <f t="shared" si="3"/>
        <v>170.5429885387691</v>
      </c>
      <c r="O14" s="52">
        <f t="shared" si="3"/>
        <v>175.65927819493217</v>
      </c>
      <c r="P14" s="1"/>
      <c r="Q14" s="1"/>
      <c r="R14" s="1"/>
      <c r="S14" s="1"/>
      <c r="T14" s="1"/>
      <c r="U14" s="2"/>
      <c r="V14" s="2"/>
    </row>
    <row r="15" spans="1:22" ht="13.5">
      <c r="A15" s="1"/>
      <c r="B15" s="6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1"/>
      <c r="Q15" s="1"/>
      <c r="R15" s="1"/>
      <c r="S15" s="1"/>
      <c r="T15" s="1"/>
      <c r="U15" s="2"/>
      <c r="V15" s="2"/>
    </row>
    <row r="16" spans="1:22" ht="13.5">
      <c r="A16" s="1"/>
      <c r="B16" s="62" t="s">
        <v>4</v>
      </c>
      <c r="C16" s="49"/>
      <c r="D16" s="49">
        <f aca="true" t="shared" si="4" ref="D16:O16">SUM(D12:D14)</f>
        <v>126.9</v>
      </c>
      <c r="E16" s="49">
        <f t="shared" si="4"/>
        <v>130.707</v>
      </c>
      <c r="F16" s="49">
        <f t="shared" si="4"/>
        <v>53.628210000000024</v>
      </c>
      <c r="G16" s="49">
        <f t="shared" si="4"/>
        <v>57.66705630000001</v>
      </c>
      <c r="H16" s="49">
        <f t="shared" si="4"/>
        <v>61.827067989</v>
      </c>
      <c r="I16" s="49">
        <f t="shared" si="4"/>
        <v>66.11188002867002</v>
      </c>
      <c r="J16" s="49">
        <f t="shared" si="4"/>
        <v>70.52523642953008</v>
      </c>
      <c r="K16" s="49">
        <f t="shared" si="4"/>
        <v>69.07099352241602</v>
      </c>
      <c r="L16" s="49">
        <f t="shared" si="4"/>
        <v>73.75312332808849</v>
      </c>
      <c r="M16" s="49">
        <f t="shared" si="4"/>
        <v>78.57571702793115</v>
      </c>
      <c r="N16" s="49">
        <f t="shared" si="4"/>
        <v>83.5429885387691</v>
      </c>
      <c r="O16" s="50">
        <f t="shared" si="4"/>
        <v>88.65927819493217</v>
      </c>
      <c r="P16" s="1"/>
      <c r="Q16" s="1"/>
      <c r="R16" s="1"/>
      <c r="S16" s="1"/>
      <c r="T16" s="1"/>
      <c r="U16" s="2"/>
      <c r="V16" s="2"/>
    </row>
    <row r="17" spans="1:22" ht="13.5">
      <c r="A17" s="1"/>
      <c r="B17" s="62" t="s">
        <v>38</v>
      </c>
      <c r="C17" s="49">
        <f>C5*C90</f>
        <v>600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1"/>
      <c r="Q17" s="1"/>
      <c r="R17" s="1"/>
      <c r="S17" s="1"/>
      <c r="T17" s="1"/>
      <c r="U17" s="2"/>
      <c r="V17" s="2"/>
    </row>
    <row r="18" spans="1:22" ht="13.5">
      <c r="A18" s="1"/>
      <c r="B18" s="63" t="s">
        <v>5</v>
      </c>
      <c r="C18" s="45"/>
      <c r="D18" s="46">
        <f aca="true" t="shared" si="5" ref="D18:O18">D16/$C$17</f>
        <v>0.21150000000000002</v>
      </c>
      <c r="E18" s="46">
        <f t="shared" si="5"/>
        <v>0.21784499999999998</v>
      </c>
      <c r="F18" s="46">
        <f t="shared" si="5"/>
        <v>0.08938035000000004</v>
      </c>
      <c r="G18" s="46">
        <f t="shared" si="5"/>
        <v>0.09611176050000002</v>
      </c>
      <c r="H18" s="46">
        <f t="shared" si="5"/>
        <v>0.103045113315</v>
      </c>
      <c r="I18" s="46">
        <f t="shared" si="5"/>
        <v>0.11018646671445002</v>
      </c>
      <c r="J18" s="46">
        <f t="shared" si="5"/>
        <v>0.11754206071588347</v>
      </c>
      <c r="K18" s="46">
        <f t="shared" si="5"/>
        <v>0.11511832253736003</v>
      </c>
      <c r="L18" s="46">
        <f t="shared" si="5"/>
        <v>0.12292187221348082</v>
      </c>
      <c r="M18" s="46">
        <f t="shared" si="5"/>
        <v>0.13095952837988525</v>
      </c>
      <c r="N18" s="46">
        <f t="shared" si="5"/>
        <v>0.13923831423128183</v>
      </c>
      <c r="O18" s="47">
        <f t="shared" si="5"/>
        <v>0.1477654636582203</v>
      </c>
      <c r="P18" s="1"/>
      <c r="Q18" s="1"/>
      <c r="R18" s="1"/>
      <c r="S18" s="1"/>
      <c r="T18" s="1"/>
      <c r="U18" s="2"/>
      <c r="V18" s="2"/>
    </row>
    <row r="19" spans="1:22" ht="13.5">
      <c r="A19" s="1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"/>
      <c r="Q19" s="1"/>
      <c r="R19" s="1"/>
      <c r="S19" s="1"/>
      <c r="T19" s="1"/>
      <c r="U19" s="2"/>
      <c r="V19" s="2"/>
    </row>
    <row r="20" spans="1:22" ht="13.5">
      <c r="A20" s="1"/>
      <c r="B20" s="64"/>
      <c r="C20" s="84">
        <v>41640</v>
      </c>
      <c r="D20" s="84">
        <v>42004</v>
      </c>
      <c r="E20" s="84">
        <v>42369</v>
      </c>
      <c r="F20" s="84">
        <v>42735</v>
      </c>
      <c r="G20" s="84">
        <v>43100</v>
      </c>
      <c r="H20" s="84">
        <v>43465</v>
      </c>
      <c r="I20" s="84">
        <v>43830</v>
      </c>
      <c r="J20" s="84">
        <v>44196</v>
      </c>
      <c r="K20" s="84">
        <v>44561</v>
      </c>
      <c r="L20" s="84">
        <v>44926</v>
      </c>
      <c r="M20" s="84">
        <v>45291</v>
      </c>
      <c r="N20" s="84">
        <v>45657</v>
      </c>
      <c r="O20" s="85">
        <v>46022</v>
      </c>
      <c r="P20" s="1"/>
      <c r="Q20" s="1"/>
      <c r="R20" s="1"/>
      <c r="S20" s="1"/>
      <c r="T20" s="1"/>
      <c r="U20" s="2"/>
      <c r="V20" s="2"/>
    </row>
    <row r="21" spans="1:22" ht="13.5">
      <c r="A21" s="1"/>
      <c r="B21" s="65" t="s">
        <v>6</v>
      </c>
      <c r="C21" s="44">
        <f>-C17</f>
        <v>-600</v>
      </c>
      <c r="D21" s="49">
        <f>D16</f>
        <v>126.9</v>
      </c>
      <c r="E21" s="49">
        <f aca="true" t="shared" si="6" ref="E21:O21">E16</f>
        <v>130.707</v>
      </c>
      <c r="F21" s="49">
        <f t="shared" si="6"/>
        <v>53.628210000000024</v>
      </c>
      <c r="G21" s="49">
        <f t="shared" si="6"/>
        <v>57.66705630000001</v>
      </c>
      <c r="H21" s="49">
        <f t="shared" si="6"/>
        <v>61.827067989</v>
      </c>
      <c r="I21" s="49">
        <f t="shared" si="6"/>
        <v>66.11188002867002</v>
      </c>
      <c r="J21" s="49">
        <f t="shared" si="6"/>
        <v>70.52523642953008</v>
      </c>
      <c r="K21" s="49">
        <f t="shared" si="6"/>
        <v>69.07099352241602</v>
      </c>
      <c r="L21" s="49">
        <f t="shared" si="6"/>
        <v>73.75312332808849</v>
      </c>
      <c r="M21" s="49">
        <f t="shared" si="6"/>
        <v>78.57571702793115</v>
      </c>
      <c r="N21" s="49">
        <f t="shared" si="6"/>
        <v>83.5429885387691</v>
      </c>
      <c r="O21" s="50">
        <f t="shared" si="6"/>
        <v>88.65927819493217</v>
      </c>
      <c r="P21" s="1"/>
      <c r="Q21" s="1"/>
      <c r="R21" s="1"/>
      <c r="S21" s="1"/>
      <c r="T21" s="1"/>
      <c r="U21" s="2"/>
      <c r="V21" s="2"/>
    </row>
    <row r="22" spans="1:22" ht="13.5" hidden="1">
      <c r="A22" s="1"/>
      <c r="B22" s="66" t="s">
        <v>7</v>
      </c>
      <c r="C22" s="40">
        <f>MAX(IF(SUM(C21:$C21)&lt;0,1,-SUM(C21:$C21)/C21),0)</f>
        <v>1</v>
      </c>
      <c r="D22" s="53">
        <f>MAX(IF(SUM($C21:D21)&lt;0,1,-SUM($C21:D21)/D21),0)</f>
        <v>1</v>
      </c>
      <c r="E22" s="53">
        <f>MAX(IF(SUM($C21:E21)&lt;0,1,-SUM($C21:E21)/E21),0)</f>
        <v>1</v>
      </c>
      <c r="F22" s="53">
        <f>MAX(IF(SUM($C21:F21)&lt;0,1,-SUM($C21:F21)/F21),0)</f>
        <v>1</v>
      </c>
      <c r="G22" s="53">
        <f>MAX(IF(SUM($C21:G21)&lt;0,1,-SUM($C21:G21)/G21),0)</f>
        <v>1</v>
      </c>
      <c r="H22" s="53">
        <f>MAX(IF(SUM($C21:H21)&lt;0,1,-SUM($C21:H21)/H21),0)</f>
        <v>1</v>
      </c>
      <c r="I22" s="53">
        <f>IF(H22=0,0,MAX(IF(SUM($C21:I21)&lt;0,1,-SUM($C21:H21)/I21),0))</f>
        <v>1</v>
      </c>
      <c r="J22" s="53">
        <f>IF(I22=0,0,MAX(IF(SUM($C21:J21)&lt;0,1,-SUM($C21:I21)/J21),0))</f>
        <v>1</v>
      </c>
      <c r="K22" s="53">
        <f>IF(J22=0,0,MAX(IF(SUM($C21:K21)&lt;0,1,-SUM($C21:J21)/K21),0))</f>
        <v>0.4724638750448716</v>
      </c>
      <c r="L22" s="53">
        <f>IF(K22=0,0,MAX(IF(SUM($C21:L21)&lt;0,1,-SUM($C21:K21)/L21),0))</f>
        <v>0</v>
      </c>
      <c r="M22" s="53">
        <f>IF(L22=0,0,MAX(IF(SUM($C21:M21)&lt;0,1,-SUM($C21:L21)/M21),0))</f>
        <v>0</v>
      </c>
      <c r="N22" s="53">
        <f>IF(M22=0,0,MAX(IF(SUM($C21:N21)&lt;0,1,-SUM($C21:M21)/N21),0))</f>
        <v>0</v>
      </c>
      <c r="O22" s="54">
        <f>IF(N22=0,0,MAX(IF(SUM($C21:O21)&lt;0,1,-SUM($C21:N21)/O21),0))</f>
        <v>0</v>
      </c>
      <c r="P22" s="1"/>
      <c r="Q22" s="1"/>
      <c r="R22" s="1"/>
      <c r="S22" s="1"/>
      <c r="T22" s="1"/>
      <c r="U22" s="2"/>
      <c r="V22" s="2"/>
    </row>
    <row r="23" spans="1:22" s="87" customFormat="1" ht="13.5">
      <c r="A23" s="39"/>
      <c r="B23" s="67" t="s">
        <v>26</v>
      </c>
      <c r="C23" s="48">
        <f>C21</f>
        <v>-600</v>
      </c>
      <c r="D23" s="55">
        <f>C23+D21</f>
        <v>-473.1</v>
      </c>
      <c r="E23" s="55">
        <f aca="true" t="shared" si="7" ref="E23:O23">D23+E21</f>
        <v>-342.39300000000003</v>
      </c>
      <c r="F23" s="55">
        <f>E23+F21</f>
        <v>-288.76479</v>
      </c>
      <c r="G23" s="55">
        <f t="shared" si="7"/>
        <v>-231.0977337</v>
      </c>
      <c r="H23" s="55">
        <f t="shared" si="7"/>
        <v>-169.270665711</v>
      </c>
      <c r="I23" s="55">
        <f t="shared" si="7"/>
        <v>-103.15878568232998</v>
      </c>
      <c r="J23" s="55">
        <f t="shared" si="7"/>
        <v>-32.633549252799895</v>
      </c>
      <c r="K23" s="55">
        <f t="shared" si="7"/>
        <v>36.43744426961612</v>
      </c>
      <c r="L23" s="55">
        <f t="shared" si="7"/>
        <v>110.19056759770461</v>
      </c>
      <c r="M23" s="55">
        <f t="shared" si="7"/>
        <v>188.76628462563576</v>
      </c>
      <c r="N23" s="55">
        <f t="shared" si="7"/>
        <v>272.3092731644049</v>
      </c>
      <c r="O23" s="56">
        <f t="shared" si="7"/>
        <v>360.9685513593371</v>
      </c>
      <c r="P23" s="39"/>
      <c r="Q23" s="39"/>
      <c r="R23" s="39"/>
      <c r="S23" s="39"/>
      <c r="T23" s="39"/>
      <c r="U23" s="86"/>
      <c r="V23" s="86"/>
    </row>
    <row r="24" spans="1:22" ht="13.5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"/>
      <c r="Q24" s="1"/>
      <c r="R24" s="1"/>
      <c r="S24" s="1"/>
      <c r="T24" s="1"/>
      <c r="U24" s="2"/>
      <c r="V24" s="2"/>
    </row>
    <row r="25" spans="1:22" ht="13.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  <c r="Q25" s="1"/>
      <c r="R25" s="1"/>
      <c r="S25" s="1"/>
      <c r="T25" s="1"/>
      <c r="U25" s="2"/>
      <c r="V25" s="2"/>
    </row>
    <row r="26" spans="1:22" ht="13.5">
      <c r="A26" s="1"/>
      <c r="B26" s="75" t="s">
        <v>35</v>
      </c>
      <c r="C26" s="7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Q26" s="1"/>
      <c r="R26" s="1"/>
      <c r="S26" s="1"/>
      <c r="T26" s="1"/>
      <c r="U26" s="2"/>
      <c r="V26" s="2"/>
    </row>
    <row r="27" spans="1:21" ht="13.5">
      <c r="A27" s="1"/>
      <c r="B27" s="70" t="s">
        <v>29</v>
      </c>
      <c r="C27" s="78">
        <f>C17</f>
        <v>600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"/>
      <c r="P27" s="1"/>
      <c r="Q27" s="1"/>
      <c r="R27" s="1"/>
      <c r="S27" s="1"/>
      <c r="T27" s="2"/>
      <c r="U27" s="2"/>
    </row>
    <row r="28" spans="1:21" ht="13.5">
      <c r="A28" s="1"/>
      <c r="B28" s="70" t="s">
        <v>30</v>
      </c>
      <c r="C28" s="78">
        <f>-SUM(D12:O12)</f>
        <v>840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  <c r="P28" s="1"/>
      <c r="Q28" s="1"/>
      <c r="R28" s="1"/>
      <c r="S28" s="1"/>
      <c r="T28" s="2"/>
      <c r="U28" s="2"/>
    </row>
    <row r="29" spans="1:21" ht="13.5">
      <c r="A29" s="1"/>
      <c r="B29" s="19"/>
      <c r="C29" s="7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  <c r="T29" s="2"/>
      <c r="U29" s="2"/>
    </row>
    <row r="30" spans="1:21" ht="13.5">
      <c r="A30" s="1"/>
      <c r="B30" s="70" t="s">
        <v>8</v>
      </c>
      <c r="C30" s="78">
        <f>SUM(D14:O14)</f>
        <v>1800.9685513593372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"/>
      <c r="P30" s="1"/>
      <c r="Q30" s="1"/>
      <c r="R30" s="1"/>
      <c r="S30" s="1"/>
      <c r="T30" s="2"/>
      <c r="U30" s="2"/>
    </row>
    <row r="31" spans="1:21" ht="13.5">
      <c r="A31" s="1"/>
      <c r="B31" s="20"/>
      <c r="C31" s="7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</row>
    <row r="32" spans="1:21" ht="13.5">
      <c r="A32" s="1"/>
      <c r="B32" s="73" t="s">
        <v>31</v>
      </c>
      <c r="C32" s="79">
        <f>SUM(D22:O22)</f>
        <v>7.4724638750448715</v>
      </c>
      <c r="D32" s="22"/>
      <c r="E32" s="22"/>
      <c r="F32" s="1"/>
      <c r="G32" s="1"/>
      <c r="H32" s="1"/>
      <c r="I32" s="1"/>
      <c r="J32" s="1"/>
      <c r="K32" s="1"/>
      <c r="L32" s="9"/>
      <c r="M32" s="9"/>
      <c r="N32" s="9"/>
      <c r="O32" s="1"/>
      <c r="P32" s="1"/>
      <c r="Q32" s="1"/>
      <c r="R32" s="1"/>
      <c r="S32" s="1"/>
      <c r="T32" s="2"/>
      <c r="U32" s="2"/>
    </row>
    <row r="33" spans="1:21" ht="13.5">
      <c r="A33" s="1"/>
      <c r="B33" s="70" t="s">
        <v>32</v>
      </c>
      <c r="C33" s="80">
        <f>IRR($C$21:O$21,8%)</f>
        <v>0.08732014464779803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</row>
    <row r="34" spans="1:21" ht="13.5">
      <c r="A34" s="1"/>
      <c r="B34" s="70" t="s">
        <v>21</v>
      </c>
      <c r="C34" s="78">
        <f>C30-C27-C28</f>
        <v>360.9685513593372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</row>
    <row r="35" spans="1:21" ht="13.5">
      <c r="A35" s="1"/>
      <c r="B35" s="20"/>
      <c r="C35" s="7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</row>
    <row r="36" spans="1:21" ht="13.5">
      <c r="A36" s="1"/>
      <c r="B36" s="74" t="s">
        <v>25</v>
      </c>
      <c r="C36" s="81">
        <f>(C27-C59)/(500*12*C5)</f>
        <v>0.07355312798987833</v>
      </c>
      <c r="D36" s="23"/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</row>
    <row r="37" spans="1:2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</row>
    <row r="38" spans="1:20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52" spans="2:15" ht="13.5" hidden="1">
      <c r="B52" s="10" t="s">
        <v>9</v>
      </c>
      <c r="C52" s="24">
        <f>C17</f>
        <v>600</v>
      </c>
      <c r="D52" s="25">
        <f aca="true" t="shared" si="8" ref="D52:O52">C52+(C52*$C$33)-D16</f>
        <v>525.4920867886789</v>
      </c>
      <c r="E52" s="25">
        <f t="shared" si="8"/>
        <v>440.6711318183395</v>
      </c>
      <c r="F52" s="25">
        <f t="shared" si="8"/>
        <v>425.5223887908258</v>
      </c>
      <c r="G52" s="25">
        <f t="shared" si="8"/>
        <v>405.0120090309172</v>
      </c>
      <c r="H52" s="25">
        <f t="shared" si="8"/>
        <v>378.5506482545922</v>
      </c>
      <c r="I52" s="25">
        <f t="shared" si="8"/>
        <v>345.49386558803087</v>
      </c>
      <c r="J52" s="25">
        <f t="shared" si="8"/>
        <v>305.13720347657454</v>
      </c>
      <c r="K52" s="25">
        <f t="shared" si="8"/>
        <v>262.7108346991576</v>
      </c>
      <c r="L52" s="25">
        <f t="shared" si="8"/>
        <v>211.8976594575433</v>
      </c>
      <c r="M52" s="25">
        <f t="shared" si="8"/>
        <v>151.8248767039747</v>
      </c>
      <c r="N52" s="25">
        <f t="shared" si="8"/>
        <v>81.53925836013076</v>
      </c>
      <c r="O52" s="25">
        <f t="shared" si="8"/>
        <v>-3.206253040843876E-10</v>
      </c>
    </row>
    <row r="54" ht="13.5">
      <c r="C54" s="26"/>
    </row>
    <row r="55" ht="13.5" hidden="1">
      <c r="C55" s="26"/>
    </row>
    <row r="56" ht="13.5" hidden="1">
      <c r="C56" s="26"/>
    </row>
    <row r="57" spans="2:18" ht="13.5" hidden="1">
      <c r="B57" s="3" t="s">
        <v>24</v>
      </c>
      <c r="C57" s="27">
        <v>0.02</v>
      </c>
      <c r="D57" s="28">
        <f aca="true" t="shared" si="9" ref="D57:O57">1/POWER(1+$C$57,(D10-2013))</f>
        <v>0.9803921568627451</v>
      </c>
      <c r="E57" s="28">
        <f t="shared" si="9"/>
        <v>0.9611687812379854</v>
      </c>
      <c r="F57" s="28">
        <f t="shared" si="9"/>
        <v>0.9423223345470446</v>
      </c>
      <c r="G57" s="28">
        <f t="shared" si="9"/>
        <v>0.9238454260265142</v>
      </c>
      <c r="H57" s="28">
        <f t="shared" si="9"/>
        <v>0.9057308098299159</v>
      </c>
      <c r="I57" s="28">
        <f t="shared" si="9"/>
        <v>0.887971382186192</v>
      </c>
      <c r="J57" s="28">
        <f t="shared" si="9"/>
        <v>0.8705601786139139</v>
      </c>
      <c r="K57" s="28">
        <f t="shared" si="9"/>
        <v>0.8534903711901116</v>
      </c>
      <c r="L57" s="28">
        <f t="shared" si="9"/>
        <v>0.8367552658726585</v>
      </c>
      <c r="M57" s="28">
        <f t="shared" si="9"/>
        <v>0.8203482998751553</v>
      </c>
      <c r="N57" s="28">
        <f t="shared" si="9"/>
        <v>0.8042630390932897</v>
      </c>
      <c r="O57" s="28">
        <f t="shared" si="9"/>
        <v>0.7884931755816564</v>
      </c>
      <c r="P57" s="28"/>
      <c r="Q57" s="28"/>
      <c r="R57" s="28"/>
    </row>
    <row r="58" ht="13.5" hidden="1"/>
    <row r="59" spans="2:15" ht="13.5" hidden="1">
      <c r="B59" s="3" t="s">
        <v>23</v>
      </c>
      <c r="C59" s="26">
        <f>SUM(D59:O59)</f>
        <v>-723.9563038178098</v>
      </c>
      <c r="D59" s="26">
        <f aca="true" t="shared" si="10" ref="D59:O59">D57*D12</f>
        <v>0</v>
      </c>
      <c r="E59" s="26">
        <f t="shared" si="10"/>
        <v>0</v>
      </c>
      <c r="F59" s="26">
        <f t="shared" si="10"/>
        <v>-76.32810909831062</v>
      </c>
      <c r="G59" s="26">
        <f t="shared" si="10"/>
        <v>-74.83147950814765</v>
      </c>
      <c r="H59" s="26">
        <f t="shared" si="10"/>
        <v>-73.3641955962232</v>
      </c>
      <c r="I59" s="26">
        <f t="shared" si="10"/>
        <v>-71.92568195708155</v>
      </c>
      <c r="J59" s="26">
        <f t="shared" si="10"/>
        <v>-70.51537446772703</v>
      </c>
      <c r="K59" s="26">
        <f t="shared" si="10"/>
        <v>-74.2536622935397</v>
      </c>
      <c r="L59" s="26">
        <f t="shared" si="10"/>
        <v>-72.7977081309213</v>
      </c>
      <c r="M59" s="26">
        <f t="shared" si="10"/>
        <v>-71.37030208913852</v>
      </c>
      <c r="N59" s="26">
        <f t="shared" si="10"/>
        <v>-69.9708844011162</v>
      </c>
      <c r="O59" s="26">
        <f t="shared" si="10"/>
        <v>-68.59890627560411</v>
      </c>
    </row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spans="4:15" ht="13.5" hidden="1">
      <c r="D70" s="10">
        <v>2013</v>
      </c>
      <c r="E70" s="10">
        <v>2014</v>
      </c>
      <c r="F70" s="10">
        <v>2015</v>
      </c>
      <c r="G70" s="10">
        <v>2016</v>
      </c>
      <c r="H70" s="10">
        <v>2017</v>
      </c>
      <c r="I70" s="10">
        <v>2018</v>
      </c>
      <c r="J70" s="10">
        <v>2019</v>
      </c>
      <c r="K70" s="10">
        <v>2020</v>
      </c>
      <c r="L70" s="10">
        <v>2021</v>
      </c>
      <c r="M70" s="10">
        <v>2022</v>
      </c>
      <c r="N70" s="10">
        <v>2023</v>
      </c>
      <c r="O70" s="10">
        <v>2024</v>
      </c>
    </row>
    <row r="71" spans="2:15" ht="13.5" hidden="1">
      <c r="B71" s="3" t="s">
        <v>10</v>
      </c>
      <c r="C71" s="3" t="s">
        <v>11</v>
      </c>
      <c r="D71" s="29">
        <f>C6</f>
        <v>0.08460000000000001</v>
      </c>
      <c r="E71" s="3">
        <f aca="true" t="shared" si="11" ref="E71:O71">D71*(1+$C$4)</f>
        <v>0.08713800000000001</v>
      </c>
      <c r="F71" s="3">
        <f>E71*(1+$C$4)</f>
        <v>0.08975214000000001</v>
      </c>
      <c r="G71" s="3">
        <f t="shared" si="11"/>
        <v>0.0924447042</v>
      </c>
      <c r="H71" s="3">
        <f t="shared" si="11"/>
        <v>0.095218045326</v>
      </c>
      <c r="I71" s="3">
        <f t="shared" si="11"/>
        <v>0.09807458668578001</v>
      </c>
      <c r="J71" s="3">
        <f t="shared" si="11"/>
        <v>0.1010168242863534</v>
      </c>
      <c r="K71" s="3">
        <f t="shared" si="11"/>
        <v>0.10404732901494401</v>
      </c>
      <c r="L71" s="3">
        <f t="shared" si="11"/>
        <v>0.10716874888539234</v>
      </c>
      <c r="M71" s="3">
        <f t="shared" si="11"/>
        <v>0.1103838113519541</v>
      </c>
      <c r="N71" s="3">
        <f t="shared" si="11"/>
        <v>0.11369532569251273</v>
      </c>
      <c r="O71" s="3">
        <f t="shared" si="11"/>
        <v>0.11710618546328812</v>
      </c>
    </row>
    <row r="72" spans="3:15" ht="13.5" hidden="1">
      <c r="C72" s="3" t="s">
        <v>12</v>
      </c>
      <c r="D72" s="24">
        <f>VLOOKUP($C$4,$C$94:$O$97,2,FALSE)</f>
        <v>0</v>
      </c>
      <c r="E72" s="24">
        <f>VLOOKUP($C$4,$C$94:$O$97,3,FALSE)</f>
        <v>0</v>
      </c>
      <c r="F72" s="24">
        <f>VLOOKUP($C$4,$C$94:$O$97,4,FALSE)</f>
        <v>-27</v>
      </c>
      <c r="G72" s="24">
        <f>VLOOKUP($C$4,$C$94:$O$97,5,FALSE)</f>
        <v>-27</v>
      </c>
      <c r="H72" s="24">
        <f>VLOOKUP($C$4,$C$94:$O$97,6,FALSE)</f>
        <v>-27</v>
      </c>
      <c r="I72" s="24">
        <f>VLOOKUP($C$4,$C$94:$O$97,7,FALSE)</f>
        <v>-27</v>
      </c>
      <c r="J72" s="24">
        <f>VLOOKUP($C$4,$C$94:$O$97,8,FALSE)</f>
        <v>-27</v>
      </c>
      <c r="K72" s="24">
        <f>VLOOKUP($C$4,$C$94:$O$97,9,FALSE)</f>
        <v>-29</v>
      </c>
      <c r="L72" s="24">
        <f>VLOOKUP($C$4,$C$94:$O$97,10,FALSE)</f>
        <v>-29</v>
      </c>
      <c r="M72" s="24">
        <f>VLOOKUP($C$4,$C$94:$O$97,11,FALSE)</f>
        <v>-29</v>
      </c>
      <c r="N72" s="24">
        <f>VLOOKUP($C$4,$C$94:$O$97,12,FALSE)</f>
        <v>-29</v>
      </c>
      <c r="O72" s="24">
        <f>VLOOKUP($C$4,$C$94:$O$97,13,FALSE)</f>
        <v>-29</v>
      </c>
    </row>
    <row r="73" ht="13.5" hidden="1"/>
    <row r="74" ht="13.5" hidden="1"/>
    <row r="75" ht="13.5" hidden="1">
      <c r="D75" s="30"/>
    </row>
    <row r="76" ht="13.5" hidden="1"/>
    <row r="77" ht="13.5" hidden="1"/>
    <row r="78" ht="13.5" hidden="1"/>
    <row r="79" spans="3:5" ht="13.5" hidden="1">
      <c r="C79" s="11" t="s">
        <v>22</v>
      </c>
      <c r="E79" s="31"/>
    </row>
    <row r="80" spans="3:5" ht="13.5" hidden="1">
      <c r="C80" s="12" t="s">
        <v>13</v>
      </c>
      <c r="E80" s="31"/>
    </row>
    <row r="81" spans="2:5" ht="13.5" hidden="1">
      <c r="B81" s="3" t="s">
        <v>14</v>
      </c>
      <c r="C81" s="32">
        <f>0.0858</f>
        <v>0.0858</v>
      </c>
      <c r="E81" s="33"/>
    </row>
    <row r="82" spans="2:5" ht="13.5" hidden="1">
      <c r="B82" s="3" t="s">
        <v>15</v>
      </c>
      <c r="C82" s="34">
        <f>0.0858</f>
        <v>0.0858</v>
      </c>
      <c r="E82" s="13"/>
    </row>
    <row r="83" spans="2:5" ht="13.5" hidden="1">
      <c r="B83" s="3" t="s">
        <v>16</v>
      </c>
      <c r="C83" s="34">
        <f>0.0822</f>
        <v>0.0822</v>
      </c>
      <c r="E83" s="35"/>
    </row>
    <row r="84" spans="3:5" ht="13.5" hidden="1">
      <c r="C84" s="14"/>
      <c r="E84" s="31"/>
    </row>
    <row r="85" spans="3:5" ht="13.5" hidden="1">
      <c r="C85" s="13"/>
      <c r="E85" s="35"/>
    </row>
    <row r="86" spans="3:5" ht="13.5" hidden="1">
      <c r="C86" s="13"/>
      <c r="E86" s="31"/>
    </row>
    <row r="87" ht="13.5" hidden="1"/>
    <row r="88" ht="13.5" hidden="1"/>
    <row r="89" spans="2:4" ht="13.5" hidden="1">
      <c r="B89" s="3" t="s">
        <v>17</v>
      </c>
      <c r="C89" s="3">
        <v>500</v>
      </c>
      <c r="D89" s="3" t="s">
        <v>18</v>
      </c>
    </row>
    <row r="90" spans="2:3" ht="13.5" hidden="1">
      <c r="B90" s="3" t="s">
        <v>20</v>
      </c>
      <c r="C90" s="15">
        <v>200</v>
      </c>
    </row>
    <row r="91" ht="13.5" hidden="1">
      <c r="C91" s="16"/>
    </row>
    <row r="92" ht="13.5" hidden="1">
      <c r="C92" s="36"/>
    </row>
    <row r="93" ht="13.5" hidden="1"/>
    <row r="94" spans="3:15" ht="13.5" hidden="1">
      <c r="C94" s="37">
        <v>-0.01</v>
      </c>
      <c r="D94" s="24">
        <v>0</v>
      </c>
      <c r="E94" s="24">
        <v>0</v>
      </c>
      <c r="F94" s="24">
        <v>-25</v>
      </c>
      <c r="G94" s="24">
        <v>-25</v>
      </c>
      <c r="H94" s="24">
        <v>-25</v>
      </c>
      <c r="I94" s="24">
        <v>-25</v>
      </c>
      <c r="J94" s="24">
        <v>-25</v>
      </c>
      <c r="K94" s="24">
        <v>-27</v>
      </c>
      <c r="L94" s="24">
        <v>-27</v>
      </c>
      <c r="M94" s="24">
        <v>-27</v>
      </c>
      <c r="N94" s="24">
        <v>-27</v>
      </c>
      <c r="O94" s="24">
        <v>-28</v>
      </c>
    </row>
    <row r="95" spans="2:16" ht="13.5" hidden="1">
      <c r="B95" s="3" t="s">
        <v>19</v>
      </c>
      <c r="C95" s="38">
        <v>0</v>
      </c>
      <c r="D95" s="24">
        <v>0</v>
      </c>
      <c r="E95" s="24">
        <v>0</v>
      </c>
      <c r="F95" s="24">
        <v>-25.75</v>
      </c>
      <c r="G95" s="24">
        <v>-25.75</v>
      </c>
      <c r="H95" s="24">
        <v>-25.75</v>
      </c>
      <c r="I95" s="24">
        <v>-25.75</v>
      </c>
      <c r="J95" s="24">
        <v>-25.75</v>
      </c>
      <c r="K95" s="24">
        <v>-27.75</v>
      </c>
      <c r="L95" s="24">
        <v>-27.75</v>
      </c>
      <c r="M95" s="24">
        <v>-27.75</v>
      </c>
      <c r="N95" s="24">
        <v>-27.75</v>
      </c>
      <c r="O95" s="24">
        <v>-27.75</v>
      </c>
      <c r="P95" s="3">
        <v>0</v>
      </c>
    </row>
    <row r="96" spans="3:15" ht="13.5" hidden="1">
      <c r="C96" s="38">
        <v>0.03</v>
      </c>
      <c r="D96" s="17">
        <v>0</v>
      </c>
      <c r="E96" s="17">
        <v>0</v>
      </c>
      <c r="F96" s="17">
        <v>-27</v>
      </c>
      <c r="G96" s="17">
        <f>F96</f>
        <v>-27</v>
      </c>
      <c r="H96" s="17">
        <f>G96</f>
        <v>-27</v>
      </c>
      <c r="I96" s="17">
        <f>H96</f>
        <v>-27</v>
      </c>
      <c r="J96" s="17">
        <f>I96</f>
        <v>-27</v>
      </c>
      <c r="K96" s="17">
        <v>-29</v>
      </c>
      <c r="L96" s="17">
        <f>K96</f>
        <v>-29</v>
      </c>
      <c r="M96" s="17">
        <f>L96</f>
        <v>-29</v>
      </c>
      <c r="N96" s="17">
        <f>M96</f>
        <v>-29</v>
      </c>
      <c r="O96" s="17">
        <f>N96</f>
        <v>-29</v>
      </c>
    </row>
    <row r="97" spans="3:15" ht="13.5" hidden="1">
      <c r="C97" s="38">
        <v>0.06</v>
      </c>
      <c r="D97" s="24">
        <v>0</v>
      </c>
      <c r="E97" s="24">
        <v>0</v>
      </c>
      <c r="F97" s="24">
        <v>-29</v>
      </c>
      <c r="G97" s="24">
        <v>-29</v>
      </c>
      <c r="H97" s="24">
        <v>-29</v>
      </c>
      <c r="I97" s="24">
        <v>-29</v>
      </c>
      <c r="J97" s="24">
        <v>-29</v>
      </c>
      <c r="K97" s="24">
        <v>-31</v>
      </c>
      <c r="L97" s="24">
        <v>-31</v>
      </c>
      <c r="M97" s="24">
        <v>-31</v>
      </c>
      <c r="N97" s="24">
        <v>-31</v>
      </c>
      <c r="O97" s="24">
        <v>-31</v>
      </c>
    </row>
    <row r="98" ht="13.5" hidden="1"/>
    <row r="99" ht="13.5" hidden="1"/>
    <row r="121" ht="13.5">
      <c r="C121" s="38"/>
    </row>
  </sheetData>
  <sheetProtection/>
  <mergeCells count="1">
    <mergeCell ref="B9:O9"/>
  </mergeCells>
  <dataValidations count="1">
    <dataValidation type="list" allowBlank="1" showInputMessage="1" showErrorMessage="1" sqref="C4">
      <formula1>Sheet1!$C$94:$C$97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WINDCENTRALE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 Reitsma</dc:creator>
  <cp:keywords/>
  <dc:description/>
  <cp:lastModifiedBy>Harm Reitsma</cp:lastModifiedBy>
  <dcterms:created xsi:type="dcterms:W3CDTF">2012-06-20T08:59:00Z</dcterms:created>
  <dcterms:modified xsi:type="dcterms:W3CDTF">2013-09-24T07:04:20Z</dcterms:modified>
  <cp:category/>
  <cp:version/>
  <cp:contentType/>
  <cp:contentStatus/>
</cp:coreProperties>
</file>