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89" activeTab="0"/>
  </bookViews>
  <sheets>
    <sheet name="opstarten" sheetId="1" r:id="rId1"/>
    <sheet name="luxmetingen" sheetId="2" r:id="rId2"/>
    <sheet name="berekening_lumen" sheetId="3" r:id="rId3"/>
    <sheet name="calibratie_luxmeters (2)" sheetId="4" r:id="rId4"/>
    <sheet name="vermogensmeting" sheetId="5" r:id="rId5"/>
  </sheets>
  <externalReferences>
    <externalReference r:id="rId8"/>
  </externalReferences>
  <definedNames/>
  <calcPr fullCalcOnLoad="1"/>
</workbook>
</file>

<file path=xl/comments2.xml><?xml version="1.0" encoding="utf-8"?>
<comments xmlns="http://schemas.openxmlformats.org/spreadsheetml/2006/main">
  <authors>
    <author>MvdS</author>
  </authors>
  <commentList>
    <comment ref="B6" authorId="0">
      <text>
        <r>
          <rPr>
            <sz val="10"/>
            <rFont val="DejaVu Sans"/>
            <family val="2"/>
          </rPr>
          <t>verlichtingssterkte gecorrigeerd met calibratiemeter</t>
        </r>
      </text>
    </comment>
    <comment ref="C6" authorId="0">
      <text>
        <r>
          <rPr>
            <sz val="10"/>
            <rFont val="DejaVu Sans"/>
            <family val="2"/>
          </rPr>
          <t>verlichtingssterkte met de luxmeter (niet gecalibreerd)</t>
        </r>
      </text>
    </comment>
  </commentList>
</comments>
</file>

<file path=xl/comments3.xml><?xml version="1.0" encoding="utf-8"?>
<comments xmlns="http://schemas.openxmlformats.org/spreadsheetml/2006/main">
  <authors>
    <author>MvdS</author>
    <author>Marcel van der Steen</author>
  </authors>
  <commentList>
    <comment ref="E4" authorId="0">
      <text>
        <r>
          <rPr>
            <sz val="10"/>
            <rFont val="DejaVu Sans"/>
            <family val="2"/>
          </rPr>
          <t>midden</t>
        </r>
      </text>
    </comment>
    <comment ref="I14" authorId="0">
      <text>
        <r>
          <rPr>
            <sz val="10"/>
            <rFont val="Arial"/>
            <family val="2"/>
          </rPr>
          <t xml:space="preserve">opp = pi * (r1² + h1²)
</t>
        </r>
        <r>
          <rPr>
            <sz val="10"/>
            <color indexed="8"/>
            <rFont val="Arial"/>
            <family val="2"/>
          </rPr>
          <t>r1=1*sin(7.5gr), h1=1*(1-cos(7.5gr))</t>
        </r>
      </text>
    </comment>
    <comment ref="I15" authorId="0">
      <text>
        <r>
          <rPr>
            <sz val="10"/>
            <color indexed="8"/>
            <rFont val="Arial"/>
            <family val="2"/>
          </rPr>
          <t>opp = pi * (r2² + h2²) - pi * (r1² + h1²)
r2=1*sin(22.5gr), h2=1*(1-cos(22.5gr))</t>
        </r>
      </text>
    </comment>
    <comment ref="I21" authorId="1">
      <text>
        <r>
          <rPr>
            <b/>
            <sz val="8"/>
            <rFont val="Tahoma"/>
            <family val="0"/>
          </rPr>
          <t>Marcel van der Steen:</t>
        </r>
        <r>
          <rPr>
            <sz val="8"/>
            <rFont val="Tahoma"/>
            <family val="0"/>
          </rPr>
          <t xml:space="preserve">
opp totale halve bol is 
2 x PI x r^2
en r = 1 m.</t>
        </r>
      </text>
    </comment>
  </commentList>
</comments>
</file>

<file path=xl/comments5.xml><?xml version="1.0" encoding="utf-8"?>
<comments xmlns="http://schemas.openxmlformats.org/spreadsheetml/2006/main">
  <authors>
    <author>marcel</author>
  </authors>
  <commentList>
    <comment ref="F2" authorId="0">
      <text>
        <r>
          <rPr>
            <b/>
            <sz val="8"/>
            <rFont val="Tahoma"/>
            <family val="0"/>
          </rPr>
          <t>marcel:</t>
        </r>
        <r>
          <rPr>
            <sz val="8"/>
            <rFont val="Tahoma"/>
            <family val="0"/>
          </rPr>
          <t xml:space="preserve">
tweemaal de twee rode draden door de tang heengedraaid</t>
        </r>
      </text>
    </comment>
    <comment ref="G2" authorId="0">
      <text>
        <r>
          <rPr>
            <b/>
            <sz val="8"/>
            <rFont val="Tahoma"/>
            <family val="0"/>
          </rPr>
          <t>marcel:</t>
        </r>
        <r>
          <rPr>
            <sz val="8"/>
            <rFont val="Tahoma"/>
            <family val="0"/>
          </rPr>
          <t xml:space="preserve">
gevoeligheid stroomtang 100mV/A</t>
        </r>
      </text>
    </comment>
  </commentList>
</comments>
</file>

<file path=xl/sharedStrings.xml><?xml version="1.0" encoding="utf-8"?>
<sst xmlns="http://schemas.openxmlformats.org/spreadsheetml/2006/main" count="155" uniqueCount="123">
  <si>
    <t>tijd [min]</t>
  </si>
  <si>
    <t>E_v [lx] kleurspectrometer</t>
  </si>
  <si>
    <t>V_lamp [V]</t>
  </si>
  <si>
    <t>I_lamp [mA]</t>
  </si>
  <si>
    <t>P_lamp [W]</t>
  </si>
  <si>
    <t>PF [-]</t>
  </si>
  <si>
    <t>T [K]</t>
  </si>
  <si>
    <t>E_v_% [-]</t>
  </si>
  <si>
    <t>V_% [-]</t>
  </si>
  <si>
    <t>I_% [-]</t>
  </si>
  <si>
    <t>P_% [W]</t>
  </si>
  <si>
    <t>PF_% [-]</t>
  </si>
  <si>
    <t>T_% [-]</t>
  </si>
  <si>
    <t>spanningsafhankelijkheidstest</t>
  </si>
  <si>
    <t>E_v_ruw</t>
  </si>
  <si>
    <t>graden</t>
  </si>
  <si>
    <t>E_v [lx]</t>
  </si>
  <si>
    <t>afstand [cm]</t>
  </si>
  <si>
    <t>E_v_ruw [lx]</t>
  </si>
  <si>
    <t>voltage</t>
  </si>
  <si>
    <t>V</t>
  </si>
  <si>
    <t>lampstroom</t>
  </si>
  <si>
    <t>mA</t>
  </si>
  <si>
    <t>power</t>
  </si>
  <si>
    <t>W</t>
  </si>
  <si>
    <t>powerfactor</t>
  </si>
  <si>
    <t>kleurtemp</t>
  </si>
  <si>
    <t>K</t>
  </si>
  <si>
    <t>x-waarde</t>
  </si>
  <si>
    <t>y-waarde</t>
  </si>
  <si>
    <t>color purity PE</t>
  </si>
  <si>
    <t>%</t>
  </si>
  <si>
    <t>CRI-Ra</t>
  </si>
  <si>
    <t>meetafstand</t>
  </si>
  <si>
    <t>cm</t>
  </si>
  <si>
    <t>1 lx=1 lm/m², dus 1lm=1lx*1m²</t>
  </si>
  <si>
    <t>P=</t>
  </si>
  <si>
    <t>PF=</t>
  </si>
  <si>
    <t>S=</t>
  </si>
  <si>
    <t>VA</t>
  </si>
  <si>
    <t>%afstand</t>
  </si>
  <si>
    <t>0gr</t>
  </si>
  <si>
    <t>avg 0gr=</t>
  </si>
  <si>
    <t>15gr</t>
  </si>
  <si>
    <t>avg 15gr=</t>
  </si>
  <si>
    <t>30gr</t>
  </si>
  <si>
    <t>avg 30gr=</t>
  </si>
  <si>
    <t>45gr</t>
  </si>
  <si>
    <t>avg 45gr=</t>
  </si>
  <si>
    <t>60gr</t>
  </si>
  <si>
    <t>avg 60gr=</t>
  </si>
  <si>
    <t>75gr</t>
  </si>
  <si>
    <t>avg 75gr=</t>
  </si>
  <si>
    <t>90gr</t>
  </si>
  <si>
    <t>avg 90gr=</t>
  </si>
  <si>
    <t>m²</t>
  </si>
  <si>
    <t>lm</t>
  </si>
  <si>
    <t>average for 7.5-22.5gr</t>
  </si>
  <si>
    <t>average for 22.5-37.5</t>
  </si>
  <si>
    <t>average for 37.5-52.5</t>
  </si>
  <si>
    <t>average for 52.5-67.5</t>
  </si>
  <si>
    <t>average for 67.5-82.5</t>
  </si>
  <si>
    <t>average for 82.5-90</t>
  </si>
  <si>
    <t>total</t>
  </si>
  <si>
    <t>average for 0-7.5gr</t>
  </si>
  <si>
    <t>total for 0-7.5gr</t>
  </si>
  <si>
    <t>total for 7.5-22.5</t>
  </si>
  <si>
    <t>total for 22.5-37.5</t>
  </si>
  <si>
    <t>total for 37.5-52.5</t>
  </si>
  <si>
    <t>total for 52.5-67.5</t>
  </si>
  <si>
    <t>total for 67.5-82.5</t>
  </si>
  <si>
    <t>total for 82.5-90</t>
  </si>
  <si>
    <t>lm/W</t>
  </si>
  <si>
    <t>x</t>
  </si>
  <si>
    <t>Luxmeter</t>
  </si>
  <si>
    <t>y</t>
  </si>
  <si>
    <t>Kleursp.mtr</t>
  </si>
  <si>
    <t>linear_regr</t>
  </si>
  <si>
    <t>a</t>
  </si>
  <si>
    <t>y=ax</t>
  </si>
  <si>
    <t>buiten gemeten, op een zwarte ondergrond</t>
  </si>
  <si>
    <t>eerst</t>
  </si>
  <si>
    <t>laatst</t>
  </si>
  <si>
    <t>0 graden</t>
  </si>
  <si>
    <t>90 graden</t>
  </si>
  <si>
    <t>opp_halve bol = pi * (r1² + h1²)</t>
  </si>
  <si>
    <t>total surface for 0 to 7.5</t>
  </si>
  <si>
    <t>Lichtstroom in een halve bol rondom de lamp (luxmeter):</t>
  </si>
  <si>
    <t>Lichtstroom in een halve bol rondom de lamp (gecorrigeerd naar kleursp_m)</t>
  </si>
  <si>
    <t>Efficiency</t>
  </si>
  <si>
    <t>tijdstip</t>
  </si>
  <si>
    <t>U_net [V]</t>
  </si>
  <si>
    <t>I_net [A]</t>
  </si>
  <si>
    <t>P [W]</t>
  </si>
  <si>
    <t>U_leds [V]</t>
  </si>
  <si>
    <t>Val_I_tang [mV]</t>
  </si>
  <si>
    <t>I_leds [A]</t>
  </si>
  <si>
    <t>P_leds [W]</t>
  </si>
  <si>
    <t>Eff [-]</t>
  </si>
  <si>
    <t>avg</t>
  </si>
  <si>
    <t>max-min</t>
  </si>
  <si>
    <t>%maxmin</t>
  </si>
  <si>
    <t>steeds drie leds in serie, en veel in parallel</t>
  </si>
  <si>
    <t>42 x 3 leds in serie, totaal</t>
  </si>
  <si>
    <t>leds.</t>
  </si>
  <si>
    <t>steeds 3 leds in serie tussen plus en min</t>
  </si>
  <si>
    <t>dus # parallelle stringen van 3 leds</t>
  </si>
  <si>
    <t>stroom door 1 sting is dan:</t>
  </si>
  <si>
    <t>A</t>
  </si>
  <si>
    <t>weinig!</t>
  </si>
  <si>
    <t>spanning over 1 led is dan:</t>
  </si>
  <si>
    <t>hoog</t>
  </si>
  <si>
    <t>vermogen door 1 led is dan:</t>
  </si>
  <si>
    <t>lekker laag, dus lage temperatuur</t>
  </si>
  <si>
    <t>Totaal vermogen voor alle leds:</t>
  </si>
  <si>
    <t>Klopt dus.</t>
  </si>
  <si>
    <t>afstand</t>
  </si>
  <si>
    <t>luxmeter</t>
  </si>
  <si>
    <t>corr met kleursp_meter op 1 m afstand</t>
  </si>
  <si>
    <t>afstand 400 lux</t>
  </si>
  <si>
    <t>Afstand tot punt recht onder lichtpunt [cm]</t>
  </si>
  <si>
    <t>Afstand tot lichtpunt [cm]</t>
  </si>
  <si>
    <t>E_v_400 [lx]</t>
  </si>
</sst>
</file>

<file path=xl/styles.xml><?xml version="1.0" encoding="utf-8"?>
<styleSheet xmlns="http://schemas.openxmlformats.org/spreadsheetml/2006/main">
  <numFmts count="3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#"/>
    <numFmt numFmtId="166" formatCode="0.0"/>
    <numFmt numFmtId="167" formatCode="0.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F&quot;\ #,##0_-;&quot;F&quot;\ #,##0\-"/>
    <numFmt numFmtId="177" formatCode="&quot;F&quot;\ #,##0_-;[Red]&quot;F&quot;\ #,##0\-"/>
    <numFmt numFmtId="178" formatCode="&quot;F&quot;\ #,##0.00_-;&quot;F&quot;\ #,##0.00\-"/>
    <numFmt numFmtId="179" formatCode="&quot;F&quot;\ #,##0.00_-;[Red]&quot;F&quot;\ #,##0.00\-"/>
    <numFmt numFmtId="180" formatCode="_-&quot;F&quot;\ * #,##0_-;_-&quot;F&quot;\ * #,##0\-;_-&quot;F&quot;\ * &quot;-&quot;_-;_-@_-"/>
    <numFmt numFmtId="181" formatCode="_-* #,##0_-;_-* #,##0\-;_-* &quot;-&quot;_-;_-@_-"/>
    <numFmt numFmtId="182" formatCode="_-&quot;F&quot;\ * #,##0.00_-;_-&quot;F&quot;\ * #,##0.00\-;_-&quot;F&quot;\ * &quot;-&quot;??_-;_-@_-"/>
    <numFmt numFmtId="183" formatCode="_-* #,##0.00_-;_-* #,##0.00\-;_-* &quot;-&quot;??_-;_-@_-"/>
    <numFmt numFmtId="184" formatCode="h:mm"/>
    <numFmt numFmtId="185" formatCode="0.0%"/>
  </numFmts>
  <fonts count="30">
    <font>
      <sz val="10"/>
      <name val="DejaVu Sans"/>
      <family val="2"/>
    </font>
    <font>
      <sz val="10"/>
      <name val="Arial"/>
      <family val="0"/>
    </font>
    <font>
      <sz val="10"/>
      <color indexed="8"/>
      <name val="DejaVu Sans"/>
      <family val="2"/>
    </font>
    <font>
      <sz val="10"/>
      <color indexed="12"/>
      <name val="DejaVu Sans"/>
      <family val="2"/>
    </font>
    <font>
      <sz val="6"/>
      <name val="DejaVu Sans"/>
      <family val="5"/>
    </font>
    <font>
      <sz val="6.8"/>
      <name val="Arial"/>
      <family val="5"/>
    </font>
    <font>
      <sz val="8.9"/>
      <name val="DejaVu Sans"/>
      <family val="5"/>
    </font>
    <font>
      <sz val="13"/>
      <name val="Arial"/>
      <family val="5"/>
    </font>
    <font>
      <b/>
      <sz val="10"/>
      <color indexed="12"/>
      <name val="DejaVu Sans"/>
      <family val="2"/>
    </font>
    <font>
      <b/>
      <sz val="10"/>
      <name val="DejaVu Sans"/>
      <family val="2"/>
    </font>
    <font>
      <b/>
      <sz val="10"/>
      <name val="Arial"/>
      <family val="2"/>
    </font>
    <font>
      <sz val="8"/>
      <name val="DejaVu Sans"/>
      <family val="2"/>
    </font>
    <font>
      <b/>
      <sz val="6"/>
      <name val="DejaVu Sans"/>
      <family val="2"/>
    </font>
    <font>
      <b/>
      <sz val="8"/>
      <color indexed="12"/>
      <name val="DejaVu Sans"/>
      <family val="2"/>
    </font>
    <font>
      <sz val="5.9"/>
      <name val="DejaVu Sans"/>
      <family val="5"/>
    </font>
    <font>
      <sz val="6.9"/>
      <name val="Arial"/>
      <family val="5"/>
    </font>
    <font>
      <sz val="12.9"/>
      <name val="Arial"/>
      <family val="5"/>
    </font>
    <font>
      <sz val="5.8"/>
      <name val="DejaVu Sans"/>
      <family val="5"/>
    </font>
    <font>
      <sz val="7"/>
      <name val="Arial"/>
      <family val="5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7.3"/>
      <name val="DejaVu Sans"/>
      <family val="5"/>
    </font>
    <font>
      <sz val="12"/>
      <name val="DejaVu Sans"/>
      <family val="5"/>
    </font>
    <font>
      <sz val="9.3"/>
      <name val="DejaVu Sans"/>
      <family val="5"/>
    </font>
    <font>
      <sz val="8"/>
      <name val="Tahoma"/>
      <family val="0"/>
    </font>
    <font>
      <b/>
      <sz val="8"/>
      <name val="Tahoma"/>
      <family val="0"/>
    </font>
    <font>
      <sz val="10"/>
      <color indexed="10"/>
      <name val="Arial"/>
      <family val="2"/>
    </font>
    <font>
      <b/>
      <sz val="8"/>
      <name val="DejaVu Sans"/>
      <family val="2"/>
    </font>
    <font>
      <sz val="13"/>
      <color indexed="8"/>
      <name val="Arial"/>
      <family val="5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1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9" fontId="0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" fontId="0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" fontId="10" fillId="0" borderId="0" xfId="0" applyNumberFormat="1" applyFont="1" applyAlignment="1">
      <alignment/>
    </xf>
    <xf numFmtId="0" fontId="0" fillId="0" borderId="0" xfId="0" applyAlignment="1">
      <alignment horizontal="right"/>
    </xf>
    <xf numFmtId="166" fontId="1" fillId="0" borderId="0" xfId="0" applyNumberFormat="1" applyFont="1" applyAlignment="1">
      <alignment/>
    </xf>
    <xf numFmtId="1" fontId="19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Fill="1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" fontId="20" fillId="0" borderId="0" xfId="0" applyNumberFormat="1" applyFont="1" applyAlignment="1">
      <alignment/>
    </xf>
    <xf numFmtId="1" fontId="19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84" fontId="10" fillId="0" borderId="0" xfId="18" applyNumberFormat="1" applyFont="1">
      <alignment/>
      <protection/>
    </xf>
    <xf numFmtId="0" fontId="10" fillId="0" borderId="0" xfId="18" applyFont="1">
      <alignment/>
      <protection/>
    </xf>
    <xf numFmtId="166" fontId="10" fillId="0" borderId="0" xfId="18" applyNumberFormat="1" applyFont="1">
      <alignment/>
      <protection/>
    </xf>
    <xf numFmtId="2" fontId="10" fillId="0" borderId="0" xfId="18" applyNumberFormat="1" applyFont="1">
      <alignment/>
      <protection/>
    </xf>
    <xf numFmtId="184" fontId="1" fillId="0" borderId="0" xfId="18" applyNumberFormat="1">
      <alignment/>
      <protection/>
    </xf>
    <xf numFmtId="0" fontId="1" fillId="0" borderId="0" xfId="18">
      <alignment/>
      <protection/>
    </xf>
    <xf numFmtId="166" fontId="1" fillId="0" borderId="0" xfId="18" applyNumberFormat="1">
      <alignment/>
      <protection/>
    </xf>
    <xf numFmtId="167" fontId="1" fillId="0" borderId="0" xfId="18" applyNumberFormat="1">
      <alignment/>
      <protection/>
    </xf>
    <xf numFmtId="185" fontId="1" fillId="0" borderId="0" xfId="18" applyNumberFormat="1">
      <alignment/>
      <protection/>
    </xf>
    <xf numFmtId="2" fontId="1" fillId="0" borderId="0" xfId="18" applyNumberFormat="1">
      <alignment/>
      <protection/>
    </xf>
    <xf numFmtId="167" fontId="10" fillId="0" borderId="0" xfId="18" applyNumberFormat="1" applyFont="1">
      <alignment/>
      <protection/>
    </xf>
    <xf numFmtId="185" fontId="10" fillId="0" borderId="0" xfId="18" applyNumberFormat="1" applyFont="1">
      <alignment/>
      <protection/>
    </xf>
    <xf numFmtId="184" fontId="27" fillId="0" borderId="0" xfId="18" applyNumberFormat="1" applyFont="1">
      <alignment/>
      <protection/>
    </xf>
    <xf numFmtId="0" fontId="28" fillId="0" borderId="0" xfId="0" applyFont="1" applyAlignment="1">
      <alignment/>
    </xf>
    <xf numFmtId="165" fontId="12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1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" fontId="28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Percent" xfId="17"/>
    <cellStyle name="Standaard_vermogensmetingen_phayton_spotlampen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E_v functie van V_lamp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95"/>
          <c:y val="0.1875"/>
          <c:w val="0.79225"/>
          <c:h val="0.6912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DejaVu Sans"/>
                      <a:ea typeface="DejaVu Sans"/>
                      <a:cs typeface="DejaVu Sans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opstarten!$C$3:$C$8</c:f>
              <c:numCache/>
            </c:numRef>
          </c:xVal>
          <c:yVal>
            <c:numRef>
              <c:f>opstarten!$H$3:$H$8</c:f>
              <c:numCache/>
            </c:numRef>
          </c:yVal>
          <c:smooth val="1"/>
        </c:ser>
        <c:axId val="63259445"/>
        <c:axId val="32464094"/>
      </c:scatterChart>
      <c:valAx>
        <c:axId val="63259445"/>
        <c:scaling>
          <c:orientation val="minMax"/>
          <c:max val="25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V_lamp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solidFill>
                  <a:srgbClr val="000000"/>
                </a:solidFill>
              </a:defRPr>
            </a:pPr>
          </a:p>
        </c:txPr>
        <c:crossAx val="32464094"/>
        <c:crosses val="autoZero"/>
        <c:crossBetween val="midCat"/>
        <c:dispUnits/>
        <c:majorUnit val="10"/>
      </c:valAx>
      <c:valAx>
        <c:axId val="324640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E_v [@230V=100%]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solidFill>
                  <a:srgbClr val="000000"/>
                </a:solidFill>
              </a:defRPr>
            </a:pPr>
          </a:p>
        </c:txPr>
        <c:crossAx val="63259445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T functie van V_lamp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595"/>
          <c:y val="0.1115"/>
          <c:w val="0.79225"/>
          <c:h val="0.769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DejaVu Sans"/>
                      <a:ea typeface="DejaVu Sans"/>
                      <a:cs typeface="DejaVu Sans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opstarten!$C$3:$C$8</c:f>
              <c:numCache/>
            </c:numRef>
          </c:xVal>
          <c:yVal>
            <c:numRef>
              <c:f>opstarten!$M$3:$M$8</c:f>
              <c:numCache/>
            </c:numRef>
          </c:yVal>
          <c:smooth val="1"/>
        </c:ser>
        <c:axId val="23741391"/>
        <c:axId val="12345928"/>
      </c:scatterChart>
      <c:valAx>
        <c:axId val="23741391"/>
        <c:scaling>
          <c:orientation val="minMax"/>
          <c:max val="25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V_lamp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solidFill>
                  <a:srgbClr val="000000"/>
                </a:solidFill>
              </a:defRPr>
            </a:pPr>
          </a:p>
        </c:txPr>
        <c:crossAx val="12345928"/>
        <c:crosses val="autoZero"/>
        <c:crossBetween val="midCat"/>
        <c:dispUnits/>
        <c:majorUnit val="10"/>
      </c:valAx>
      <c:valAx>
        <c:axId val="123459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T [@230V=100%]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solidFill>
                  <a:srgbClr val="000000"/>
                </a:solidFill>
              </a:defRPr>
            </a:pPr>
          </a:p>
        </c:txPr>
        <c:crossAx val="23741391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P functie van V_lamp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6025"/>
          <c:y val="0.1"/>
          <c:w val="0.79125"/>
          <c:h val="0.7822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25400">
                <a:solidFill>
                  <a:srgbClr val="800080"/>
                </a:solidFill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DejaVu Sans"/>
                      <a:ea typeface="DejaVu Sans"/>
                      <a:cs typeface="DejaVu Sans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opstarten!$C$3:$C$8</c:f>
              <c:numCache/>
            </c:numRef>
          </c:xVal>
          <c:yVal>
            <c:numRef>
              <c:f>opstarten!$K$3:$K$8</c:f>
              <c:numCache/>
            </c:numRef>
          </c:yVal>
          <c:smooth val="1"/>
        </c:ser>
        <c:axId val="44004489"/>
        <c:axId val="60496082"/>
      </c:scatterChart>
      <c:valAx>
        <c:axId val="44004489"/>
        <c:scaling>
          <c:orientation val="minMax"/>
          <c:max val="250"/>
          <c:min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V_lamp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solidFill>
                  <a:srgbClr val="000000"/>
                </a:solidFill>
              </a:defRPr>
            </a:pPr>
          </a:p>
        </c:txPr>
        <c:crossAx val="60496082"/>
        <c:crosses val="autoZero"/>
        <c:crossBetween val="midCat"/>
        <c:dispUnits/>
        <c:majorUnit val="10"/>
      </c:valAx>
      <c:valAx>
        <c:axId val="604960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P [@230V=100%]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80" b="0" i="0" u="none" baseline="0">
                <a:solidFill>
                  <a:srgbClr val="000000"/>
                </a:solidFill>
              </a:defRPr>
            </a:pPr>
          </a:p>
        </c:txPr>
        <c:crossAx val="44004489"/>
        <c:crossesAt val="200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90" b="0" i="0" u="none" baseline="0">
                <a:solidFill>
                  <a:srgbClr val="000000"/>
                </a:solidFill>
              </a:rPr>
              <a:t>Afstraalprofiel op 1 m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25"/>
          <c:w val="0.92225"/>
          <c:h val="0.8307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90" b="0" i="0" u="none" baseline="0">
                      <a:latin typeface="DejaVu Sans"/>
                      <a:ea typeface="DejaVu Sans"/>
                      <a:cs typeface="DejaVu Sans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luxmetingen!$H$3:$T$3</c:f>
              <c:numCache/>
            </c:numRef>
          </c:xVal>
          <c:yVal>
            <c:numRef>
              <c:f>luxmetingen!$H$4:$T$4</c:f>
              <c:numCache/>
            </c:numRef>
          </c:yVal>
          <c:smooth val="1"/>
        </c:ser>
        <c:axId val="7593827"/>
        <c:axId val="1235580"/>
      </c:scatterChart>
      <c:valAx>
        <c:axId val="7593827"/>
        <c:scaling>
          <c:orientation val="minMax"/>
          <c:max val="90"/>
          <c:min val="-9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Hoek [graden]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</a:defRPr>
            </a:pPr>
          </a:p>
        </c:txPr>
        <c:crossAx val="1235580"/>
        <c:crosses val="autoZero"/>
        <c:crossBetween val="midCat"/>
        <c:dispUnits/>
        <c:majorUnit val="20"/>
      </c:valAx>
      <c:valAx>
        <c:axId val="12355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E_v [lx]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</a:defRPr>
            </a:pPr>
          </a:p>
        </c:txPr>
        <c:crossAx val="7593827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DejaVu Sans"/>
          <a:ea typeface="DejaVu Sans"/>
          <a:cs typeface="DejaVu Sans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E_v_max als f(afstand)</a:t>
            </a:r>
          </a:p>
        </c:rich>
      </c:tx>
      <c:layout>
        <c:manualLayout>
          <c:xMode val="factor"/>
          <c:yMode val="factor"/>
          <c:x val="0.092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95"/>
          <c:y val="0.117"/>
          <c:w val="0.9205"/>
          <c:h val="0.82"/>
        </c:manualLayout>
      </c:layout>
      <c:scatterChart>
        <c:scatterStyle val="smooth"/>
        <c:varyColors val="0"/>
        <c:ser>
          <c:idx val="0"/>
          <c:order val="0"/>
          <c:tx>
            <c:strRef>
              <c:f>luxmetingen!$B$6</c:f>
              <c:strCache>
                <c:ptCount val="1"/>
                <c:pt idx="0">
                  <c:v>E_v [lx]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solidFill>
                <a:srgbClr val="FFFFFF"/>
              </a:solidFill>
              <a:ln w="25400">
                <a:solidFill>
                  <a:srgbClr val="800080"/>
                </a:solidFill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80" b="0" i="0" u="none" baseline="0">
                      <a:latin typeface="DejaVu Sans"/>
                      <a:ea typeface="DejaVu Sans"/>
                      <a:cs typeface="DejaVu Sans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luxmetingen!$A$7:$A$12</c:f>
              <c:numCache/>
            </c:numRef>
          </c:xVal>
          <c:yVal>
            <c:numRef>
              <c:f>luxmetingen!$B$7:$B$12</c:f>
              <c:numCache/>
            </c:numRef>
          </c:yVal>
          <c:smooth val="1"/>
        </c:ser>
        <c:axId val="11120221"/>
        <c:axId val="32973126"/>
      </c:scatterChart>
      <c:valAx>
        <c:axId val="111202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afstand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973126"/>
        <c:crosses val="autoZero"/>
        <c:crossBetween val="midCat"/>
        <c:dispUnits/>
      </c:valAx>
      <c:valAx>
        <c:axId val="329731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E_v [lx]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120221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DejaVu Sans"/>
          <a:ea typeface="DejaVu Sans"/>
          <a:cs typeface="DejaVu Sans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90" b="0" i="0" u="none" baseline="0">
                <a:solidFill>
                  <a:srgbClr val="000000"/>
                </a:solidFill>
              </a:rPr>
              <a:t>Afstraalprofiel op 1 m</a:t>
            </a:r>
          </a:p>
        </c:rich>
      </c:tx>
      <c:layout>
        <c:manualLayout>
          <c:xMode val="factor"/>
          <c:yMode val="factor"/>
          <c:x val="0.01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25"/>
          <c:y val="0.10475"/>
          <c:w val="0.92275"/>
          <c:h val="0.8315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3175">
                <a:noFill/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90" b="0" i="0" u="none" baseline="0">
                      <a:latin typeface="DejaVu Sans"/>
                      <a:ea typeface="DejaVu Sans"/>
                      <a:cs typeface="DejaVu Sans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9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luxmetingen!$H$3:$T$3</c:f>
              <c:numCache/>
            </c:numRef>
          </c:xVal>
          <c:yVal>
            <c:numRef>
              <c:f>luxmetingen!$H$4:$T$4</c:f>
              <c:numCache/>
            </c:numRef>
          </c:yVal>
          <c:smooth val="1"/>
        </c:ser>
        <c:axId val="28322679"/>
        <c:axId val="53577520"/>
      </c:scatterChart>
      <c:valAx>
        <c:axId val="28322679"/>
        <c:scaling>
          <c:orientation val="minMax"/>
          <c:max val="3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Hoek [graden]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</a:defRPr>
            </a:pPr>
          </a:p>
        </c:txPr>
        <c:crossAx val="53577520"/>
        <c:crosses val="autoZero"/>
        <c:crossBetween val="midCat"/>
        <c:dispUnits/>
        <c:majorUnit val="10"/>
      </c:valAx>
      <c:valAx>
        <c:axId val="5357752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E_v [lx]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90" b="0" i="0" u="none" baseline="0">
                <a:solidFill>
                  <a:srgbClr val="000000"/>
                </a:solidFill>
              </a:defRPr>
            </a:pPr>
          </a:p>
        </c:txPr>
        <c:crossAx val="28322679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DejaVu Sans"/>
          <a:ea typeface="DejaVu Sans"/>
          <a:cs typeface="DejaVu Sans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E_v_400 (op vlak onder lamp)</a:t>
            </a:r>
          </a:p>
        </c:rich>
      </c:tx>
      <c:layout>
        <c:manualLayout>
          <c:xMode val="factor"/>
          <c:yMode val="factor"/>
          <c:x val="0.06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735"/>
          <c:w val="0.9175"/>
          <c:h val="0.777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luxmetingen!$A$19</c:f>
              <c:strCache>
                <c:ptCount val="1"/>
                <c:pt idx="0">
                  <c:v>E_v_400 [lx]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25400">
                <a:solidFill>
                  <a:srgbClr val="800080"/>
                </a:solidFill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80" b="0" i="0" u="none" baseline="0">
                      <a:latin typeface="DejaVu Sans"/>
                      <a:ea typeface="DejaVu Sans"/>
                      <a:cs typeface="DejaVu Sans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luxmetingen!$I$17:$S$17</c:f>
              <c:numCache/>
            </c:numRef>
          </c:xVal>
          <c:yVal>
            <c:numRef>
              <c:f>luxmetingen!$I$19:$S$19</c:f>
              <c:numCache/>
            </c:numRef>
          </c:yVal>
          <c:smooth val="1"/>
        </c:ser>
        <c:axId val="12435633"/>
        <c:axId val="44811834"/>
      </c:scatterChart>
      <c:valAx>
        <c:axId val="12435633"/>
        <c:scaling>
          <c:orientation val="minMax"/>
          <c:max val="200"/>
          <c:min val="-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afstand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811834"/>
        <c:crosses val="autoZero"/>
        <c:crossBetween val="midCat"/>
        <c:dispUnits/>
        <c:majorUnit val="100"/>
        <c:minorUnit val="10"/>
      </c:valAx>
      <c:valAx>
        <c:axId val="448118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E_v [lx]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43563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DejaVu Sans"/>
          <a:ea typeface="DejaVu Sans"/>
          <a:cs typeface="DejaVu Sans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</a:rPr>
              <a:t>E_v_400 (op vlak onder lamp)</a:t>
            </a:r>
          </a:p>
        </c:rich>
      </c:tx>
      <c:layout>
        <c:manualLayout>
          <c:xMode val="factor"/>
          <c:yMode val="factor"/>
          <c:x val="0.068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73"/>
          <c:w val="0.91775"/>
          <c:h val="0.77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luxmetingen!$A$19</c:f>
              <c:strCache>
                <c:ptCount val="1"/>
                <c:pt idx="0">
                  <c:v>E_v_400 [lx]</c:v>
                </c:pt>
              </c:strCache>
            </c:strRef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noFill/>
              <a:ln w="25400">
                <a:solidFill>
                  <a:srgbClr val="800080"/>
                </a:solidFill>
              </a:ln>
            </c:spPr>
            <c:marker>
              <c:symbol val="none"/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580" b="0" i="0" u="none" baseline="0">
                      <a:latin typeface="DejaVu Sans"/>
                      <a:ea typeface="DejaVu Sans"/>
                      <a:cs typeface="DejaVu Sans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8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luxmetingen!$I$17:$S$17</c:f>
              <c:numCache/>
            </c:numRef>
          </c:xVal>
          <c:yVal>
            <c:numRef>
              <c:f>luxmetingen!$I$19:$S$19</c:f>
              <c:numCache/>
            </c:numRef>
          </c:yVal>
          <c:smooth val="1"/>
        </c:ser>
        <c:axId val="653323"/>
        <c:axId val="5879908"/>
      </c:scatterChart>
      <c:valAx>
        <c:axId val="653323"/>
        <c:scaling>
          <c:orientation val="minMax"/>
          <c:max val="50"/>
          <c:min val="-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afstand [cm]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79908"/>
        <c:crosses val="autoZero"/>
        <c:crossBetween val="midCat"/>
        <c:dispUnits/>
        <c:majorUnit val="25"/>
        <c:minorUnit val="10"/>
      </c:valAx>
      <c:valAx>
        <c:axId val="58799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9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E_v [lx]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332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DejaVu Sans"/>
          <a:ea typeface="DejaVu Sans"/>
          <a:cs typeface="DejaVu Sans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3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rPr>
              <a:t>Correlatie verlichtingssterke meting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'calibratie_luxmeters (2)'!$B$2</c:f>
              <c:strCache>
                <c:ptCount val="1"/>
                <c:pt idx="0">
                  <c:v>Kleursp.mtr</c:v>
                </c:pt>
              </c:strCache>
            </c:strRef>
          </c:tx>
          <c:spPr>
            <a:ln w="3175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80008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noFill/>
              <a:ln w="3175">
                <a:noFill/>
              </a:ln>
            </c:spPr>
            <c:marker>
              <c:size val="6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DejaVu Sans"/>
                      <a:ea typeface="DejaVu Sans"/>
                      <a:cs typeface="DejaVu Sans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'calibratie_luxmeters (2)'!$C$1:$J$1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'calibratie_luxmeters (2)'!$C$2:$J$2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'calibratie_luxmeters (2)'!$B$3</c:f>
              <c:strCache>
                <c:ptCount val="1"/>
                <c:pt idx="0">
                  <c:v>linear_regr</c:v>
                </c:pt>
              </c:strCache>
            </c:strRef>
          </c:tx>
          <c:spPr>
            <a:ln w="3175">
              <a:solidFill>
                <a:srgbClr val="6666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6666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DejaVu Sans"/>
                    <a:ea typeface="DejaVu Sans"/>
                    <a:cs typeface="DejaVu Sans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'calibratie_luxmeters (2)'!$C$1:$J$1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'calibratie_luxmeters (2)'!$C$3:$J$3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2919173"/>
        <c:axId val="6510510"/>
      </c:scatterChart>
      <c:valAx>
        <c:axId val="52919173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Vincent's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</a:p>
        </c:txPr>
        <c:crossAx val="6510510"/>
        <c:crosses val="autoZero"/>
        <c:crossBetween val="midCat"/>
        <c:dispUnits/>
      </c:valAx>
      <c:valAx>
        <c:axId val="651051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DejaVu Sans"/>
                    <a:ea typeface="DejaVu Sans"/>
                    <a:cs typeface="DejaVu Sans"/>
                  </a:rPr>
                  <a:t>Philips'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30" b="0" i="0" u="none" baseline="0">
                <a:solidFill>
                  <a:srgbClr val="000000"/>
                </a:solidFill>
                <a:latin typeface="DejaVu Sans"/>
                <a:ea typeface="DejaVu Sans"/>
                <a:cs typeface="DejaVu Sans"/>
              </a:defRPr>
            </a:pPr>
          </a:p>
        </c:txPr>
        <c:crossAx val="52919173"/>
        <c:crosses val="autoZero"/>
        <c:crossBetween val="midCat"/>
        <c:dispUnits/>
      </c:valAx>
      <c:spPr>
        <a:solidFill>
          <a:srgbClr val="D9D9D9"/>
        </a:solidFill>
        <a:ln w="3175">
          <a:noFill/>
        </a:ln>
      </c:spPr>
    </c:plotArea>
    <c:legend>
      <c:legendPos val="r"/>
      <c:layout/>
      <c:overlay val="0"/>
      <c:spPr>
        <a:solidFill>
          <a:srgbClr val="D9D9D9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DejaVu Sans"/>
              <a:ea typeface="DejaVu Sans"/>
              <a:cs typeface="DejaVu Sans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DejaVu Sans"/>
          <a:ea typeface="DejaVu Sans"/>
          <a:cs typeface="DejaVu Sans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Relationship Id="rId5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10</xdr:row>
      <xdr:rowOff>0</xdr:rowOff>
    </xdr:from>
    <xdr:to>
      <xdr:col>3</xdr:col>
      <xdr:colOff>152400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638175" y="1619250"/>
        <a:ext cx="205740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133350</xdr:colOff>
      <xdr:row>9</xdr:row>
      <xdr:rowOff>114300</xdr:rowOff>
    </xdr:from>
    <xdr:to>
      <xdr:col>6</xdr:col>
      <xdr:colOff>104775</xdr:colOff>
      <xdr:row>26</xdr:row>
      <xdr:rowOff>95250</xdr:rowOff>
    </xdr:to>
    <xdr:graphicFrame>
      <xdr:nvGraphicFramePr>
        <xdr:cNvPr id="2" name="Chart 2"/>
        <xdr:cNvGraphicFramePr/>
      </xdr:nvGraphicFramePr>
      <xdr:xfrm>
        <a:off x="2676525" y="1571625"/>
        <a:ext cx="20574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76200</xdr:colOff>
      <xdr:row>9</xdr:row>
      <xdr:rowOff>95250</xdr:rowOff>
    </xdr:from>
    <xdr:to>
      <xdr:col>9</xdr:col>
      <xdr:colOff>476250</xdr:colOff>
      <xdr:row>26</xdr:row>
      <xdr:rowOff>95250</xdr:rowOff>
    </xdr:to>
    <xdr:graphicFrame>
      <xdr:nvGraphicFramePr>
        <xdr:cNvPr id="3" name="Chart 3"/>
        <xdr:cNvGraphicFramePr/>
      </xdr:nvGraphicFramePr>
      <xdr:xfrm>
        <a:off x="4705350" y="1552575"/>
        <a:ext cx="204787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0</xdr:rowOff>
    </xdr:from>
    <xdr:to>
      <xdr:col>30</xdr:col>
      <xdr:colOff>161925</xdr:colOff>
      <xdr:row>17</xdr:row>
      <xdr:rowOff>28575</xdr:rowOff>
    </xdr:to>
    <xdr:graphicFrame>
      <xdr:nvGraphicFramePr>
        <xdr:cNvPr id="1" name="Chart 3"/>
        <xdr:cNvGraphicFramePr/>
      </xdr:nvGraphicFramePr>
      <xdr:xfrm>
        <a:off x="7105650" y="161925"/>
        <a:ext cx="20478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19050</xdr:colOff>
      <xdr:row>21</xdr:row>
      <xdr:rowOff>0</xdr:rowOff>
    </xdr:from>
    <xdr:to>
      <xdr:col>12</xdr:col>
      <xdr:colOff>38100</xdr:colOff>
      <xdr:row>37</xdr:row>
      <xdr:rowOff>57150</xdr:rowOff>
    </xdr:to>
    <xdr:graphicFrame>
      <xdr:nvGraphicFramePr>
        <xdr:cNvPr id="2" name="Chart 4"/>
        <xdr:cNvGraphicFramePr/>
      </xdr:nvGraphicFramePr>
      <xdr:xfrm>
        <a:off x="2447925" y="3400425"/>
        <a:ext cx="2124075" cy="2647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171450</xdr:colOff>
      <xdr:row>1</xdr:row>
      <xdr:rowOff>0</xdr:rowOff>
    </xdr:from>
    <xdr:to>
      <xdr:col>39</xdr:col>
      <xdr:colOff>171450</xdr:colOff>
      <xdr:row>17</xdr:row>
      <xdr:rowOff>38100</xdr:rowOff>
    </xdr:to>
    <xdr:graphicFrame>
      <xdr:nvGraphicFramePr>
        <xdr:cNvPr id="3" name="Chart 5"/>
        <xdr:cNvGraphicFramePr/>
      </xdr:nvGraphicFramePr>
      <xdr:xfrm>
        <a:off x="9163050" y="161925"/>
        <a:ext cx="2057400" cy="2628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14</xdr:col>
      <xdr:colOff>276225</xdr:colOff>
      <xdr:row>21</xdr:row>
      <xdr:rowOff>0</xdr:rowOff>
    </xdr:from>
    <xdr:to>
      <xdr:col>22</xdr:col>
      <xdr:colOff>133350</xdr:colOff>
      <xdr:row>37</xdr:row>
      <xdr:rowOff>19050</xdr:rowOff>
    </xdr:to>
    <xdr:graphicFrame>
      <xdr:nvGraphicFramePr>
        <xdr:cNvPr id="4" name="Chart 6"/>
        <xdr:cNvGraphicFramePr/>
      </xdr:nvGraphicFramePr>
      <xdr:xfrm>
        <a:off x="5400675" y="3400425"/>
        <a:ext cx="2047875" cy="2609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</xdr:col>
      <xdr:colOff>123825</xdr:colOff>
      <xdr:row>21</xdr:row>
      <xdr:rowOff>0</xdr:rowOff>
    </xdr:from>
    <xdr:to>
      <xdr:col>32</xdr:col>
      <xdr:colOff>47625</xdr:colOff>
      <xdr:row>37</xdr:row>
      <xdr:rowOff>28575</xdr:rowOff>
    </xdr:to>
    <xdr:graphicFrame>
      <xdr:nvGraphicFramePr>
        <xdr:cNvPr id="5" name="Chart 7"/>
        <xdr:cNvGraphicFramePr/>
      </xdr:nvGraphicFramePr>
      <xdr:xfrm>
        <a:off x="7439025" y="3400425"/>
        <a:ext cx="2057400" cy="2619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10</xdr:row>
      <xdr:rowOff>152400</xdr:rowOff>
    </xdr:from>
    <xdr:to>
      <xdr:col>10</xdr:col>
      <xdr:colOff>123825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181225" y="1771650"/>
        <a:ext cx="528637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arcel\lampmetingen\phayton_3600k\phayton_p8039_3600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starten"/>
      <sheetName val="luxmetingen"/>
      <sheetName val="berekening_lumen"/>
      <sheetName val="calibratie_luxmeters (2)"/>
      <sheetName val="vermogensmeting"/>
    </sheetNames>
    <sheetDataSet>
      <sheetData sheetId="3">
        <row r="5">
          <cell r="C5">
            <v>1.0363501483679525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workbookViewId="0" topLeftCell="A1">
      <selection activeCell="A4" sqref="A4"/>
    </sheetView>
  </sheetViews>
  <sheetFormatPr defaultColWidth="9.00390625" defaultRowHeight="12.75"/>
  <cols>
    <col min="1" max="1" width="8.50390625" style="0" customWidth="1"/>
    <col min="2" max="2" width="14.875" style="0" customWidth="1"/>
    <col min="3" max="3" width="10.00390625" style="0" customWidth="1"/>
    <col min="4" max="4" width="11.25390625" style="0" customWidth="1"/>
    <col min="5" max="5" width="10.50390625" style="0" customWidth="1"/>
    <col min="6" max="6" width="5.625" style="0" customWidth="1"/>
    <col min="7" max="7" width="5.375" style="0" customWidth="1"/>
    <col min="8" max="8" width="9.00390625" style="1" customWidth="1"/>
    <col min="9" max="9" width="7.25390625" style="1" customWidth="1"/>
    <col min="10" max="10" width="6.50390625" style="1" customWidth="1"/>
    <col min="11" max="12" width="8.125" style="1" customWidth="1"/>
    <col min="13" max="13" width="7.00390625" style="1" customWidth="1"/>
    <col min="14" max="16384" width="10.00390625" style="0" customWidth="1"/>
  </cols>
  <sheetData>
    <row r="1" ht="12.75">
      <c r="A1" t="s">
        <v>13</v>
      </c>
    </row>
    <row r="2" spans="1:13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s="2" t="s">
        <v>7</v>
      </c>
      <c r="I2" s="1" t="s">
        <v>8</v>
      </c>
      <c r="J2" s="1" t="s">
        <v>9</v>
      </c>
      <c r="K2" s="1" t="s">
        <v>10</v>
      </c>
      <c r="L2" s="2" t="s">
        <v>11</v>
      </c>
      <c r="M2" s="1" t="s">
        <v>12</v>
      </c>
    </row>
    <row r="3" spans="1:13" ht="12.75">
      <c r="A3" t="s">
        <v>81</v>
      </c>
      <c r="B3" s="3">
        <v>1671</v>
      </c>
      <c r="C3" s="3">
        <v>200</v>
      </c>
      <c r="D3" s="3">
        <v>112</v>
      </c>
      <c r="E3" s="3">
        <v>11.8</v>
      </c>
      <c r="F3" s="3">
        <f aca="true" t="shared" si="0" ref="F3:F9">E3/D3/C3*1000</f>
        <v>0.5267857142857143</v>
      </c>
      <c r="G3" s="3">
        <v>6103</v>
      </c>
      <c r="H3" s="4">
        <f aca="true" t="shared" si="1" ref="H3:M5">B3/B$6*H$6</f>
        <v>1.0023995200959808</v>
      </c>
      <c r="I3" s="4">
        <f t="shared" si="1"/>
        <v>0.8695652173913043</v>
      </c>
      <c r="J3" s="4">
        <f t="shared" si="1"/>
        <v>1.1313131313131313</v>
      </c>
      <c r="K3" s="4">
        <f t="shared" si="1"/>
        <v>0.984974958263773</v>
      </c>
      <c r="L3" s="4">
        <f t="shared" si="1"/>
        <v>1.0012446339136656</v>
      </c>
      <c r="M3" s="4">
        <f t="shared" si="1"/>
        <v>0.9990178425274185</v>
      </c>
    </row>
    <row r="4" spans="2:13" ht="12.75">
      <c r="B4" s="3">
        <v>1671</v>
      </c>
      <c r="C4" s="3">
        <v>210</v>
      </c>
      <c r="D4" s="3">
        <v>108</v>
      </c>
      <c r="E4" s="3">
        <v>11.82</v>
      </c>
      <c r="F4" s="3">
        <f t="shared" si="0"/>
        <v>0.5211640211640212</v>
      </c>
      <c r="G4" s="3">
        <v>6106</v>
      </c>
      <c r="H4" s="4">
        <f t="shared" si="1"/>
        <v>1.0023995200959808</v>
      </c>
      <c r="I4" s="4">
        <f t="shared" si="1"/>
        <v>0.9130434782608695</v>
      </c>
      <c r="J4" s="4">
        <f t="shared" si="1"/>
        <v>1.0909090909090908</v>
      </c>
      <c r="K4" s="4">
        <f t="shared" si="1"/>
        <v>0.9866444073455759</v>
      </c>
      <c r="L4" s="4">
        <f t="shared" si="1"/>
        <v>0.9905596629302806</v>
      </c>
      <c r="M4" s="4">
        <f t="shared" si="1"/>
        <v>0.9995089212637093</v>
      </c>
    </row>
    <row r="5" spans="2:13" ht="12.75">
      <c r="B5" s="3">
        <v>1668</v>
      </c>
      <c r="C5" s="3">
        <v>220</v>
      </c>
      <c r="D5" s="3">
        <v>104</v>
      </c>
      <c r="E5" s="3">
        <v>11.89</v>
      </c>
      <c r="F5" s="3">
        <f t="shared" si="0"/>
        <v>0.5196678321678322</v>
      </c>
      <c r="G5" s="3">
        <v>6109</v>
      </c>
      <c r="H5" s="4">
        <f t="shared" si="1"/>
        <v>1.0005998800239952</v>
      </c>
      <c r="I5" s="4">
        <f t="shared" si="1"/>
        <v>0.9565217391304348</v>
      </c>
      <c r="J5" s="4">
        <f t="shared" si="1"/>
        <v>1.0505050505050506</v>
      </c>
      <c r="K5" s="4">
        <f t="shared" si="1"/>
        <v>0.9924874791318865</v>
      </c>
      <c r="L5" s="4">
        <f t="shared" si="1"/>
        <v>0.9877159047129832</v>
      </c>
      <c r="M5" s="4">
        <f t="shared" si="1"/>
        <v>1</v>
      </c>
    </row>
    <row r="6" spans="2:13" ht="12.75">
      <c r="B6" s="3">
        <v>1667</v>
      </c>
      <c r="C6" s="3">
        <v>230</v>
      </c>
      <c r="D6" s="3">
        <v>99</v>
      </c>
      <c r="E6" s="3">
        <v>11.98</v>
      </c>
      <c r="F6" s="3">
        <f t="shared" si="0"/>
        <v>0.5261308739569609</v>
      </c>
      <c r="G6" s="3">
        <v>6109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</row>
    <row r="7" spans="2:13" ht="12.75">
      <c r="B7" s="3">
        <v>1666</v>
      </c>
      <c r="C7" s="3">
        <v>240</v>
      </c>
      <c r="D7" s="3">
        <v>97</v>
      </c>
      <c r="E7" s="3">
        <v>12.06</v>
      </c>
      <c r="F7" s="3">
        <f t="shared" si="0"/>
        <v>0.5180412371134021</v>
      </c>
      <c r="G7" s="3">
        <v>6116</v>
      </c>
      <c r="H7" s="4">
        <f aca="true" t="shared" si="2" ref="H7:M9">B7/B$6*H$6</f>
        <v>0.9994001199760048</v>
      </c>
      <c r="I7" s="4">
        <f t="shared" si="2"/>
        <v>1.0434782608695652</v>
      </c>
      <c r="J7" s="4">
        <f t="shared" si="2"/>
        <v>0.9797979797979798</v>
      </c>
      <c r="K7" s="4">
        <f t="shared" si="2"/>
        <v>1.006677796327212</v>
      </c>
      <c r="L7" s="4">
        <f t="shared" si="2"/>
        <v>0.9846242879025181</v>
      </c>
      <c r="M7" s="4">
        <f t="shared" si="2"/>
        <v>1.0011458503846784</v>
      </c>
    </row>
    <row r="8" spans="2:13" ht="12.75">
      <c r="B8" s="3">
        <v>1665</v>
      </c>
      <c r="C8" s="3">
        <v>250</v>
      </c>
      <c r="D8" s="3">
        <v>92</v>
      </c>
      <c r="E8" s="3">
        <v>12.14</v>
      </c>
      <c r="F8" s="3">
        <f t="shared" si="0"/>
        <v>0.5278260869565218</v>
      </c>
      <c r="G8" s="3">
        <v>6115</v>
      </c>
      <c r="H8" s="4">
        <f t="shared" si="2"/>
        <v>0.9988002399520096</v>
      </c>
      <c r="I8" s="4">
        <f t="shared" si="2"/>
        <v>1.0869565217391304</v>
      </c>
      <c r="J8" s="4">
        <f t="shared" si="2"/>
        <v>0.9292929292929293</v>
      </c>
      <c r="K8" s="4">
        <f t="shared" si="2"/>
        <v>1.013355592654424</v>
      </c>
      <c r="L8" s="4">
        <f t="shared" si="2"/>
        <v>1.00322203672788</v>
      </c>
      <c r="M8" s="4">
        <f t="shared" si="2"/>
        <v>1.0009821574725815</v>
      </c>
    </row>
    <row r="9" spans="1:13" ht="12.75">
      <c r="A9" t="s">
        <v>82</v>
      </c>
      <c r="B9" s="3">
        <v>1663</v>
      </c>
      <c r="C9" s="3">
        <v>200</v>
      </c>
      <c r="D9" s="3">
        <v>112</v>
      </c>
      <c r="E9" s="3">
        <v>11.76</v>
      </c>
      <c r="F9" s="3">
        <f t="shared" si="0"/>
        <v>0.525</v>
      </c>
      <c r="G9" s="3">
        <v>6120</v>
      </c>
      <c r="H9" s="4">
        <f t="shared" si="2"/>
        <v>0.9976004799040192</v>
      </c>
      <c r="I9" s="4">
        <f t="shared" si="2"/>
        <v>0.8695652173913043</v>
      </c>
      <c r="J9" s="4">
        <f t="shared" si="2"/>
        <v>1.1313131313131313</v>
      </c>
      <c r="K9" s="4">
        <f t="shared" si="2"/>
        <v>0.9816360601001669</v>
      </c>
      <c r="L9" s="4">
        <f t="shared" si="2"/>
        <v>0.9978505843071787</v>
      </c>
      <c r="M9" s="4">
        <f t="shared" si="2"/>
        <v>1.001800622033066</v>
      </c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50"/>
  <sheetViews>
    <sheetView workbookViewId="0" topLeftCell="A1">
      <selection activeCell="B21" sqref="B21"/>
    </sheetView>
  </sheetViews>
  <sheetFormatPr defaultColWidth="9.00390625" defaultRowHeight="12.75"/>
  <cols>
    <col min="1" max="1" width="14.375" style="0" customWidth="1"/>
    <col min="2" max="2" width="5.625" style="10" customWidth="1"/>
    <col min="3" max="3" width="9.125" style="10" customWidth="1"/>
    <col min="4" max="7" width="2.75390625" style="10" customWidth="1"/>
    <col min="8" max="20" width="3.875" style="10" customWidth="1"/>
    <col min="21" max="30" width="2.75390625" style="10" customWidth="1"/>
    <col min="31" max="16384" width="3.00390625" style="0" customWidth="1"/>
  </cols>
  <sheetData>
    <row r="1" spans="1:3" ht="12.75">
      <c r="A1" t="s">
        <v>116</v>
      </c>
      <c r="B1" s="47">
        <f>berekening_lumen!B2</f>
        <v>100</v>
      </c>
      <c r="C1" s="10" t="s">
        <v>34</v>
      </c>
    </row>
    <row r="2" spans="1:254" s="12" customFormat="1" ht="12.75">
      <c r="A2" t="s">
        <v>117</v>
      </c>
      <c r="B2"/>
      <c r="C2" s="11"/>
      <c r="D2" s="11"/>
      <c r="E2" s="11" t="s">
        <v>14</v>
      </c>
      <c r="F2" s="1"/>
      <c r="G2" s="11"/>
      <c r="H2" s="12">
        <f>T2</f>
        <v>0.35</v>
      </c>
      <c r="I2" s="12">
        <f>S2</f>
        <v>27.5</v>
      </c>
      <c r="J2" s="12">
        <f>R2</f>
        <v>23.75</v>
      </c>
      <c r="K2" s="12">
        <f>Q2</f>
        <v>43.3</v>
      </c>
      <c r="L2" s="12">
        <f>P2</f>
        <v>114</v>
      </c>
      <c r="M2" s="12">
        <f>O2</f>
        <v>639.5</v>
      </c>
      <c r="N2" s="12">
        <f>berekening_lumen!I5</f>
        <v>1625</v>
      </c>
      <c r="O2" s="12">
        <f>berekening_lumen!I6</f>
        <v>639.5</v>
      </c>
      <c r="P2" s="12">
        <f>berekening_lumen!I7</f>
        <v>114</v>
      </c>
      <c r="Q2" s="12">
        <f>berekening_lumen!I8</f>
        <v>43.3</v>
      </c>
      <c r="R2" s="12">
        <f>berekening_lumen!I9</f>
        <v>23.75</v>
      </c>
      <c r="S2" s="12">
        <f>berekening_lumen!I10</f>
        <v>27.5</v>
      </c>
      <c r="T2" s="12">
        <f>berekening_lumen!I11</f>
        <v>0.35</v>
      </c>
      <c r="IO2"/>
      <c r="IP2"/>
      <c r="IQ2"/>
      <c r="IR2"/>
      <c r="IS2"/>
      <c r="IT2"/>
    </row>
    <row r="3" spans="1:20" ht="12.75">
      <c r="A3" s="1"/>
      <c r="B3" s="1"/>
      <c r="C3" s="1"/>
      <c r="D3" s="1"/>
      <c r="E3" s="1" t="s">
        <v>15</v>
      </c>
      <c r="F3" s="1"/>
      <c r="G3" s="1"/>
      <c r="H3" s="10">
        <v>-90</v>
      </c>
      <c r="I3" s="10">
        <v>-75</v>
      </c>
      <c r="J3" s="10">
        <v>-60</v>
      </c>
      <c r="K3" s="10">
        <v>-45</v>
      </c>
      <c r="L3" s="10">
        <v>-30</v>
      </c>
      <c r="M3" s="10">
        <v>-15</v>
      </c>
      <c r="N3" s="10">
        <v>0</v>
      </c>
      <c r="O3" s="10">
        <v>15</v>
      </c>
      <c r="P3" s="10">
        <v>30</v>
      </c>
      <c r="Q3" s="10">
        <v>45</v>
      </c>
      <c r="R3" s="10">
        <v>60</v>
      </c>
      <c r="S3" s="10">
        <v>75</v>
      </c>
      <c r="T3" s="10">
        <v>90</v>
      </c>
    </row>
    <row r="4" spans="1:254" s="14" customFormat="1" ht="12.75">
      <c r="A4" t="s">
        <v>118</v>
      </c>
      <c r="B4" s="1"/>
      <c r="C4" s="13"/>
      <c r="D4" s="13"/>
      <c r="E4" s="13" t="s">
        <v>16</v>
      </c>
      <c r="F4" s="1"/>
      <c r="G4" s="13"/>
      <c r="H4" s="48">
        <f>$B$1*$B$1/100/100*H2*'calibratie_luxmeters (2)'!$C$5</f>
        <v>0.3566193853427896</v>
      </c>
      <c r="I4" s="48">
        <f>$B$1*$B$1/100/100*I2*'calibratie_luxmeters (2)'!$C$5</f>
        <v>28.020094562647756</v>
      </c>
      <c r="J4" s="48">
        <f>$B$1*$B$1/100/100*J2*'calibratie_luxmeters (2)'!$C$5</f>
        <v>24.19917257683215</v>
      </c>
      <c r="K4" s="48">
        <f>$B$1*$B$1/100/100*K2*'calibratie_luxmeters (2)'!$C$5</f>
        <v>44.118912529550826</v>
      </c>
      <c r="L4" s="48">
        <f>$B$1*$B$1/100/100*L2*'calibratie_luxmeters (2)'!$C$5</f>
        <v>116.15602836879432</v>
      </c>
      <c r="M4" s="48">
        <f>$B$1*$B$1/100/100*M2*'calibratie_luxmeters (2)'!$C$5</f>
        <v>651.5945626477542</v>
      </c>
      <c r="N4" s="48">
        <f>$B$1*$B$1/100/100*N2*'calibratie_luxmeters (2)'!$C$5</f>
        <v>1655.7328605200946</v>
      </c>
      <c r="O4" s="48">
        <f>$B$1*$B$1/100/100*O2*'calibratie_luxmeters (2)'!$C$5</f>
        <v>651.5945626477542</v>
      </c>
      <c r="P4" s="48">
        <f>$B$1*$B$1/100/100*P2*'calibratie_luxmeters (2)'!$C$5</f>
        <v>116.15602836879432</v>
      </c>
      <c r="Q4" s="48">
        <f>$B$1*$B$1/100/100*Q2*'calibratie_luxmeters (2)'!$C$5</f>
        <v>44.118912529550826</v>
      </c>
      <c r="R4" s="48">
        <f>$B$1*$B$1/100/100*R2*'calibratie_luxmeters (2)'!$C$5</f>
        <v>24.19917257683215</v>
      </c>
      <c r="S4" s="48">
        <f>$B$1*$B$1/100/100*S2*'calibratie_luxmeters (2)'!$C$5</f>
        <v>28.020094562647756</v>
      </c>
      <c r="T4" s="48">
        <f>$B$1*$B$1/100/100*T2*'calibratie_luxmeters (2)'!$C$5</f>
        <v>0.3566193853427896</v>
      </c>
      <c r="IO4"/>
      <c r="IP4"/>
      <c r="IQ4"/>
      <c r="IR4"/>
      <c r="IS4"/>
      <c r="IT4"/>
    </row>
    <row r="5" spans="1:254" s="14" customFormat="1" ht="12.75">
      <c r="A5" s="13"/>
      <c r="B5" s="1"/>
      <c r="C5" s="13"/>
      <c r="D5" s="13"/>
      <c r="E5" s="1"/>
      <c r="F5" s="1"/>
      <c r="G5" s="13"/>
      <c r="IO5"/>
      <c r="IP5"/>
      <c r="IQ5"/>
      <c r="IR5"/>
      <c r="IS5"/>
      <c r="IT5"/>
    </row>
    <row r="6" spans="1:254" s="14" customFormat="1" ht="12.75">
      <c r="A6" t="s">
        <v>17</v>
      </c>
      <c r="B6" s="15" t="s">
        <v>16</v>
      </c>
      <c r="C6" s="10" t="s">
        <v>18</v>
      </c>
      <c r="D6" s="13"/>
      <c r="E6" s="1"/>
      <c r="F6" s="1"/>
      <c r="G6" s="13"/>
      <c r="IO6"/>
      <c r="IP6"/>
      <c r="IQ6"/>
      <c r="IR6"/>
      <c r="IS6"/>
      <c r="IT6"/>
    </row>
    <row r="7" spans="1:254" s="14" customFormat="1" ht="12.75">
      <c r="A7">
        <v>100</v>
      </c>
      <c r="B7" s="15">
        <f>C7*'[1]calibratie_luxmeters (2)'!$C$5</f>
        <v>1715.9189956576945</v>
      </c>
      <c r="C7" s="52">
        <f>N4</f>
        <v>1655.7328605200946</v>
      </c>
      <c r="D7" s="13"/>
      <c r="E7" s="1"/>
      <c r="F7" s="1"/>
      <c r="G7" s="13"/>
      <c r="IO7"/>
      <c r="IP7"/>
      <c r="IQ7"/>
      <c r="IR7"/>
      <c r="IS7"/>
      <c r="IT7"/>
    </row>
    <row r="8" spans="1:254" s="14" customFormat="1" ht="12.75">
      <c r="A8">
        <v>150</v>
      </c>
      <c r="B8" s="15">
        <f>C8*'[1]calibratie_luxmeters (2)'!$C$5</f>
        <v>762.6306647367531</v>
      </c>
      <c r="C8" s="52">
        <f>A7*A7/A8/A8*C7</f>
        <v>735.8812713422643</v>
      </c>
      <c r="D8" s="13"/>
      <c r="E8" s="1"/>
      <c r="F8" s="1"/>
      <c r="G8" s="13"/>
      <c r="IO8"/>
      <c r="IP8"/>
      <c r="IQ8"/>
      <c r="IR8"/>
      <c r="IS8"/>
      <c r="IT8"/>
    </row>
    <row r="9" spans="1:254" s="14" customFormat="1" ht="12.75">
      <c r="A9">
        <v>200</v>
      </c>
      <c r="B9" s="15">
        <f>C9*'[1]calibratie_luxmeters (2)'!$C$5</f>
        <v>428.9797489144236</v>
      </c>
      <c r="C9" s="52">
        <f>A8*A8/A9/A9*C8</f>
        <v>413.93321513002365</v>
      </c>
      <c r="D9" s="13"/>
      <c r="E9" s="1"/>
      <c r="F9" s="1"/>
      <c r="G9" s="13"/>
      <c r="IO9"/>
      <c r="IP9"/>
      <c r="IQ9"/>
      <c r="IR9"/>
      <c r="IS9"/>
      <c r="IT9"/>
    </row>
    <row r="10" spans="1:254" s="14" customFormat="1" ht="12.75">
      <c r="A10">
        <v>300</v>
      </c>
      <c r="B10" s="15">
        <f>C10*'[1]calibratie_luxmeters (2)'!$C$5</f>
        <v>190.6576661841883</v>
      </c>
      <c r="C10" s="52">
        <f>A9*A9/A10/A10*C9</f>
        <v>183.97031783556608</v>
      </c>
      <c r="D10" s="13"/>
      <c r="E10" s="1"/>
      <c r="F10" s="1"/>
      <c r="G10" s="13"/>
      <c r="IO10"/>
      <c r="IP10"/>
      <c r="IQ10"/>
      <c r="IR10"/>
      <c r="IS10"/>
      <c r="IT10"/>
    </row>
    <row r="11" spans="1:254" s="14" customFormat="1" ht="12.75">
      <c r="A11">
        <v>400</v>
      </c>
      <c r="B11" s="15">
        <f>C11*'[1]calibratie_luxmeters (2)'!$C$5</f>
        <v>107.2449372286059</v>
      </c>
      <c r="C11" s="52">
        <f>A10*A10/A11/A11*C10</f>
        <v>103.48330378250591</v>
      </c>
      <c r="D11" s="13"/>
      <c r="E11" s="1"/>
      <c r="F11" s="1"/>
      <c r="G11" s="13"/>
      <c r="IO11"/>
      <c r="IP11"/>
      <c r="IQ11"/>
      <c r="IR11"/>
      <c r="IS11"/>
      <c r="IT11"/>
    </row>
    <row r="12" spans="1:30" ht="12.75">
      <c r="A12">
        <v>500</v>
      </c>
      <c r="B12" s="15">
        <f>C12*'[1]calibratie_luxmeters (2)'!$C$5</f>
        <v>68.63675982630778</v>
      </c>
      <c r="C12" s="52">
        <f>A11*A11/A12/A12*C11</f>
        <v>66.22931442080379</v>
      </c>
      <c r="L12" s="14"/>
      <c r="M12" s="14"/>
      <c r="N12" s="14"/>
      <c r="O12" s="14"/>
      <c r="P12" s="14"/>
      <c r="Q12" s="14">
        <f>0.5*(Q5+G5)</f>
        <v>0</v>
      </c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</row>
    <row r="15" spans="1:20" ht="12.75">
      <c r="A15" s="49" t="s">
        <v>119</v>
      </c>
      <c r="B15" s="6">
        <f>100*SQRT(N4/400)</f>
        <v>203.4534873453939</v>
      </c>
      <c r="C15" s="49" t="s">
        <v>34</v>
      </c>
      <c r="D15" s="13"/>
      <c r="E15" s="13"/>
      <c r="F15" s="1"/>
      <c r="G15" s="1"/>
      <c r="H15" s="13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</row>
    <row r="16" spans="1:20" ht="12.75">
      <c r="A16" s="49" t="s">
        <v>15</v>
      </c>
      <c r="B16" s="1"/>
      <c r="C16" s="13"/>
      <c r="D16" s="13"/>
      <c r="E16" s="13"/>
      <c r="F16" s="1"/>
      <c r="G16" s="1"/>
      <c r="H16" s="50">
        <f aca="true" t="shared" si="0" ref="H16:T16">H3</f>
        <v>-90</v>
      </c>
      <c r="I16" s="50">
        <f t="shared" si="0"/>
        <v>-75</v>
      </c>
      <c r="J16" s="50">
        <f t="shared" si="0"/>
        <v>-60</v>
      </c>
      <c r="K16" s="50">
        <f t="shared" si="0"/>
        <v>-45</v>
      </c>
      <c r="L16" s="50">
        <f t="shared" si="0"/>
        <v>-30</v>
      </c>
      <c r="M16" s="50">
        <f t="shared" si="0"/>
        <v>-15</v>
      </c>
      <c r="N16" s="50">
        <f t="shared" si="0"/>
        <v>0</v>
      </c>
      <c r="O16" s="50">
        <f t="shared" si="0"/>
        <v>15</v>
      </c>
      <c r="P16" s="50">
        <f t="shared" si="0"/>
        <v>30</v>
      </c>
      <c r="Q16" s="50">
        <f t="shared" si="0"/>
        <v>45</v>
      </c>
      <c r="R16" s="50">
        <f t="shared" si="0"/>
        <v>60</v>
      </c>
      <c r="S16" s="50">
        <f t="shared" si="0"/>
        <v>75</v>
      </c>
      <c r="T16" s="50">
        <f t="shared" si="0"/>
        <v>90</v>
      </c>
    </row>
    <row r="17" spans="1:20" ht="12.75">
      <c r="A17" s="49" t="s">
        <v>120</v>
      </c>
      <c r="B17" s="1"/>
      <c r="C17" s="13"/>
      <c r="D17" s="13"/>
      <c r="E17" s="13"/>
      <c r="F17" s="1"/>
      <c r="G17" s="1"/>
      <c r="H17" s="50"/>
      <c r="I17" s="50">
        <f>$B$15*TAN(2*PI()/360*I16)</f>
        <v>-759.2987517500818</v>
      </c>
      <c r="J17" s="50">
        <f>$B$15*TAN(2*PI()/360*J16)</f>
        <v>-352.39177705929376</v>
      </c>
      <c r="K17" s="50">
        <f>$B$15*TAN(2*PI()/360*K16)</f>
        <v>-203.45348734539388</v>
      </c>
      <c r="L17" s="50">
        <f>$B$15*TAN(2*PI()/360*L16)</f>
        <v>-117.46392568643128</v>
      </c>
      <c r="M17" s="50">
        <f>$B$15*TAN(2*PI()/360*M16)</f>
        <v>-54.51519763149394</v>
      </c>
      <c r="N17" s="50">
        <v>0</v>
      </c>
      <c r="O17" s="50">
        <f>$B$15*TAN(2*PI()/360*O16)</f>
        <v>54.51519763149394</v>
      </c>
      <c r="P17" s="50">
        <f>$B$15*TAN(2*PI()/360*P16)</f>
        <v>117.46392568643128</v>
      </c>
      <c r="Q17" s="50">
        <f>$B$15*TAN(2*PI()/360*Q16)</f>
        <v>203.45348734539388</v>
      </c>
      <c r="R17" s="50">
        <f>$B$15*TAN(2*PI()/360*R16)</f>
        <v>352.39177705929376</v>
      </c>
      <c r="S17" s="50">
        <f>$B$15*TAN(2*PI()/360*S16)</f>
        <v>759.2987517500818</v>
      </c>
      <c r="T17" s="50"/>
    </row>
    <row r="18" spans="1:20" ht="12.75">
      <c r="A18" s="51" t="s">
        <v>121</v>
      </c>
      <c r="B18" s="1"/>
      <c r="C18" s="13"/>
      <c r="D18" s="13"/>
      <c r="E18" s="13"/>
      <c r="F18" s="1"/>
      <c r="G18" s="1"/>
      <c r="H18" s="50"/>
      <c r="I18" s="50">
        <f>SQRT(I17*I17+$B$15*$B$15)</f>
        <v>786.0839115019686</v>
      </c>
      <c r="J18" s="50">
        <f>SQRT(J17*J17+$B$15*$B$15)</f>
        <v>406.9069746907877</v>
      </c>
      <c r="K18" s="50">
        <f>SQRT(K17*K17+$B$15*$B$15)</f>
        <v>287.7266811159589</v>
      </c>
      <c r="L18" s="50">
        <f>SQRT(L17*L17+$B$15*$B$15)</f>
        <v>234.9278513728626</v>
      </c>
      <c r="M18" s="50">
        <f>SQRT(M17*M17+$B$15*$B$15)</f>
        <v>210.63054927005058</v>
      </c>
      <c r="N18" s="50">
        <f>B15</f>
        <v>203.4534873453939</v>
      </c>
      <c r="O18" s="50">
        <f>SQRT(O17*O17+$B$15*$B$15)</f>
        <v>210.63054927005058</v>
      </c>
      <c r="P18" s="50">
        <f>SQRT(P17*P17+$B$15*$B$15)</f>
        <v>234.9278513728626</v>
      </c>
      <c r="Q18" s="50">
        <f>SQRT(Q17*Q17+$B$15*$B$15)</f>
        <v>287.7266811159589</v>
      </c>
      <c r="R18" s="50">
        <f>SQRT(R17*R17+$B$15*$B$15)</f>
        <v>406.9069746907877</v>
      </c>
      <c r="S18" s="50">
        <f>SQRT(S17*S17+$B$15*$B$15)</f>
        <v>786.0839115019686</v>
      </c>
      <c r="T18" s="50"/>
    </row>
    <row r="19" spans="1:20" ht="12.75">
      <c r="A19" s="51" t="s">
        <v>122</v>
      </c>
      <c r="B19" s="1"/>
      <c r="C19" s="13"/>
      <c r="D19" s="13"/>
      <c r="E19" s="13"/>
      <c r="F19" s="1"/>
      <c r="G19" s="1"/>
      <c r="H19" s="50"/>
      <c r="I19" s="50">
        <f aca="true" t="shared" si="1" ref="I19:S19">I4*100*100/I18/I18</f>
        <v>0.45345247949882295</v>
      </c>
      <c r="J19" s="50">
        <f t="shared" si="1"/>
        <v>1.4615384615384626</v>
      </c>
      <c r="K19" s="50">
        <f t="shared" si="1"/>
        <v>5.3292307692307705</v>
      </c>
      <c r="L19" s="50">
        <f t="shared" si="1"/>
        <v>21.046153846153846</v>
      </c>
      <c r="M19" s="50">
        <f t="shared" si="1"/>
        <v>146.87055331940292</v>
      </c>
      <c r="N19" s="50">
        <f t="shared" si="1"/>
        <v>400.00000000000006</v>
      </c>
      <c r="O19" s="50">
        <f t="shared" si="1"/>
        <v>146.87055331940292</v>
      </c>
      <c r="P19" s="50">
        <f t="shared" si="1"/>
        <v>21.046153846153846</v>
      </c>
      <c r="Q19" s="50">
        <f t="shared" si="1"/>
        <v>5.3292307692307705</v>
      </c>
      <c r="R19" s="50">
        <f t="shared" si="1"/>
        <v>1.4615384615384626</v>
      </c>
      <c r="S19" s="50">
        <f t="shared" si="1"/>
        <v>0.45345247949882295</v>
      </c>
      <c r="T19" s="50"/>
    </row>
    <row r="20" spans="2:3" ht="12.75">
      <c r="B20"/>
      <c r="C20"/>
    </row>
    <row r="21" spans="2:3" ht="12.75">
      <c r="B21"/>
      <c r="C21"/>
    </row>
    <row r="22" spans="1:3" ht="12.75">
      <c r="A22" t="s">
        <v>19</v>
      </c>
      <c r="B22" s="16">
        <v>230</v>
      </c>
      <c r="C22" s="10" t="s">
        <v>20</v>
      </c>
    </row>
    <row r="23" spans="1:3" ht="12.75">
      <c r="A23" t="s">
        <v>21</v>
      </c>
      <c r="B23" s="16">
        <v>99</v>
      </c>
      <c r="C23" s="10" t="s">
        <v>22</v>
      </c>
    </row>
    <row r="24" spans="1:3" ht="12.75">
      <c r="A24" t="s">
        <v>23</v>
      </c>
      <c r="B24" s="16">
        <v>11.96</v>
      </c>
      <c r="C24" s="10" t="s">
        <v>24</v>
      </c>
    </row>
    <row r="25" spans="1:2" ht="12.75">
      <c r="A25" t="s">
        <v>25</v>
      </c>
      <c r="B25" s="16">
        <f>B24/B23/B22*1000</f>
        <v>0.5252525252525253</v>
      </c>
    </row>
    <row r="26" spans="1:3" ht="12.75">
      <c r="A26" t="s">
        <v>26</v>
      </c>
      <c r="B26" s="16">
        <v>6122</v>
      </c>
      <c r="C26" s="10" t="s">
        <v>27</v>
      </c>
    </row>
    <row r="27" spans="1:2" ht="12.75">
      <c r="A27" t="s">
        <v>28</v>
      </c>
      <c r="B27" s="16">
        <v>0.3182</v>
      </c>
    </row>
    <row r="28" spans="1:2" ht="12.75">
      <c r="A28" t="s">
        <v>29</v>
      </c>
      <c r="B28" s="16">
        <v>0.3477</v>
      </c>
    </row>
    <row r="29" spans="1:3" ht="12.75">
      <c r="A29" t="s">
        <v>30</v>
      </c>
      <c r="B29" s="16">
        <v>4.6</v>
      </c>
      <c r="C29" s="10" t="s">
        <v>31</v>
      </c>
    </row>
    <row r="30" spans="1:3" ht="12.75">
      <c r="A30" t="s">
        <v>32</v>
      </c>
      <c r="B30" s="5">
        <v>74</v>
      </c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ht="12.75">
      <c r="B35" s="15"/>
    </row>
    <row r="36" ht="12.75">
      <c r="B36" s="15"/>
    </row>
    <row r="37" ht="12.75">
      <c r="B37" s="15"/>
    </row>
    <row r="38" ht="12.75">
      <c r="B38" s="15"/>
    </row>
    <row r="39" ht="12.75">
      <c r="B39" s="15"/>
    </row>
    <row r="40" ht="12.75">
      <c r="B40" s="15"/>
    </row>
    <row r="43" spans="2:3" ht="12.75">
      <c r="B43"/>
      <c r="C43"/>
    </row>
    <row r="44" spans="2:3" ht="12.75">
      <c r="B44"/>
      <c r="C44"/>
    </row>
    <row r="45" spans="2:3" ht="12.75">
      <c r="B45"/>
      <c r="C45"/>
    </row>
    <row r="46" spans="2:3" ht="12.75">
      <c r="B46"/>
      <c r="C46"/>
    </row>
    <row r="47" spans="2:3" ht="12.75">
      <c r="B47"/>
      <c r="C47"/>
    </row>
    <row r="48" spans="2:3" ht="12.75">
      <c r="B48"/>
      <c r="C48"/>
    </row>
    <row r="49" spans="2:3" ht="12.75">
      <c r="B49"/>
      <c r="C49"/>
    </row>
    <row r="50" spans="2:3" ht="12.75">
      <c r="B50"/>
      <c r="C50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&amp;C&amp;12&amp;A</oddHeader>
    <oddFooter>&amp;C&amp;12Page &amp;P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8"/>
  <sheetViews>
    <sheetView workbookViewId="0" topLeftCell="A1">
      <selection activeCell="K24" sqref="K24"/>
    </sheetView>
  </sheetViews>
  <sheetFormatPr defaultColWidth="9.00390625" defaultRowHeight="12.75"/>
  <cols>
    <col min="1" max="1" width="15.375" style="0" customWidth="1"/>
    <col min="2" max="8" width="4.50390625" style="0" customWidth="1"/>
    <col min="9" max="9" width="6.50390625" style="0" customWidth="1"/>
    <col min="10" max="18" width="4.50390625" style="0" customWidth="1"/>
    <col min="19" max="16384" width="10.00390625" style="0" customWidth="1"/>
  </cols>
  <sheetData>
    <row r="1" spans="1:16" ht="12.75">
      <c r="A1" s="9" t="s">
        <v>80</v>
      </c>
      <c r="B1" s="17"/>
      <c r="C1" s="9"/>
      <c r="D1" s="9"/>
      <c r="K1" s="9"/>
      <c r="L1" s="9"/>
      <c r="M1" s="9"/>
      <c r="N1" s="9"/>
      <c r="O1" s="9"/>
      <c r="P1" s="9"/>
    </row>
    <row r="2" spans="1:16" ht="12.75">
      <c r="A2" s="8" t="s">
        <v>33</v>
      </c>
      <c r="B2" s="17">
        <v>100</v>
      </c>
      <c r="C2" s="9" t="s">
        <v>34</v>
      </c>
      <c r="D2" s="9" t="s">
        <v>35</v>
      </c>
      <c r="K2" s="9" t="s">
        <v>36</v>
      </c>
      <c r="L2" s="9">
        <f>luxmetingen!B24</f>
        <v>11.96</v>
      </c>
      <c r="M2" s="9" t="s">
        <v>24</v>
      </c>
      <c r="N2" s="9"/>
      <c r="O2" s="9" t="s">
        <v>37</v>
      </c>
      <c r="P2" s="9">
        <f>luxmetingen!B25</f>
        <v>0.5252525252525253</v>
      </c>
    </row>
    <row r="3" spans="1:19" ht="12.75">
      <c r="A3" s="18"/>
      <c r="B3" s="17"/>
      <c r="C3" s="9"/>
      <c r="K3" s="9" t="s">
        <v>38</v>
      </c>
      <c r="L3" s="19">
        <f>L2/P2</f>
        <v>22.77</v>
      </c>
      <c r="M3" s="9" t="s">
        <v>39</v>
      </c>
      <c r="N3" s="9"/>
      <c r="O3" s="9"/>
      <c r="P3" s="9"/>
      <c r="S3" s="20"/>
    </row>
    <row r="4" spans="1:16" s="21" customFormat="1" ht="12.75">
      <c r="A4" s="21" t="s">
        <v>40</v>
      </c>
      <c r="B4" s="21" t="s">
        <v>83</v>
      </c>
      <c r="E4" s="21" t="s">
        <v>84</v>
      </c>
      <c r="I4"/>
      <c r="P4"/>
    </row>
    <row r="5" spans="1:18" s="8" customFormat="1" ht="12.75">
      <c r="A5" s="8" t="s">
        <v>41</v>
      </c>
      <c r="B5" s="17">
        <v>1626</v>
      </c>
      <c r="C5" s="22"/>
      <c r="D5" s="22"/>
      <c r="E5" s="22">
        <v>1624</v>
      </c>
      <c r="F5" s="17"/>
      <c r="G5" s="18"/>
      <c r="H5" s="7" t="s">
        <v>42</v>
      </c>
      <c r="I5" s="23">
        <f aca="true" t="shared" si="0" ref="I5:I11">AVERAGE(B5:E5)</f>
        <v>1625</v>
      </c>
      <c r="J5" s="17"/>
      <c r="K5" s="23"/>
      <c r="L5" s="23"/>
      <c r="M5" s="31"/>
      <c r="N5" s="30"/>
      <c r="O5" s="31"/>
      <c r="P5" s="23"/>
      <c r="Q5" s="23"/>
      <c r="R5" s="17"/>
    </row>
    <row r="6" spans="1:18" s="8" customFormat="1" ht="12.75">
      <c r="A6" s="8" t="s">
        <v>43</v>
      </c>
      <c r="B6" s="17">
        <v>675</v>
      </c>
      <c r="C6" s="23"/>
      <c r="D6" s="23"/>
      <c r="E6" s="22">
        <v>604</v>
      </c>
      <c r="F6" s="23"/>
      <c r="G6" s="29"/>
      <c r="H6" s="7" t="s">
        <v>44</v>
      </c>
      <c r="I6" s="23">
        <f t="shared" si="0"/>
        <v>639.5</v>
      </c>
      <c r="J6" s="17"/>
      <c r="K6" s="23"/>
      <c r="L6" s="23"/>
      <c r="M6" s="31"/>
      <c r="N6" s="30"/>
      <c r="O6" s="31"/>
      <c r="P6" s="23"/>
      <c r="Q6" s="23"/>
      <c r="R6" s="17"/>
    </row>
    <row r="7" spans="1:18" s="8" customFormat="1" ht="12.75">
      <c r="A7" s="8" t="s">
        <v>45</v>
      </c>
      <c r="B7" s="17">
        <v>121</v>
      </c>
      <c r="C7" s="23"/>
      <c r="D7" s="23"/>
      <c r="E7" s="22">
        <v>107</v>
      </c>
      <c r="F7" s="23"/>
      <c r="G7" s="29"/>
      <c r="H7" s="7" t="s">
        <v>46</v>
      </c>
      <c r="I7" s="23">
        <f t="shared" si="0"/>
        <v>114</v>
      </c>
      <c r="J7" s="23"/>
      <c r="K7" s="23"/>
      <c r="L7" s="23"/>
      <c r="M7" s="31"/>
      <c r="N7" s="31"/>
      <c r="O7" s="31"/>
      <c r="P7" s="23"/>
      <c r="Q7" s="23"/>
      <c r="R7" s="17"/>
    </row>
    <row r="8" spans="1:18" s="8" customFormat="1" ht="12.75">
      <c r="A8" s="8" t="s">
        <v>47</v>
      </c>
      <c r="B8" s="17">
        <v>44.6</v>
      </c>
      <c r="C8" s="23"/>
      <c r="D8" s="23"/>
      <c r="E8" s="22">
        <v>42</v>
      </c>
      <c r="F8" s="23"/>
      <c r="G8" s="29"/>
      <c r="H8" s="7" t="s">
        <v>48</v>
      </c>
      <c r="I8" s="23">
        <f t="shared" si="0"/>
        <v>43.3</v>
      </c>
      <c r="J8" s="23"/>
      <c r="K8" s="23"/>
      <c r="L8" s="31"/>
      <c r="M8" s="31"/>
      <c r="N8" s="31"/>
      <c r="O8" s="31"/>
      <c r="P8" s="31"/>
      <c r="Q8" s="23"/>
      <c r="R8" s="17"/>
    </row>
    <row r="9" spans="1:18" s="8" customFormat="1" ht="12.75">
      <c r="A9" s="8" t="s">
        <v>49</v>
      </c>
      <c r="B9" s="17">
        <v>24.5</v>
      </c>
      <c r="C9" s="23"/>
      <c r="D9" s="23"/>
      <c r="E9" s="22">
        <v>23</v>
      </c>
      <c r="F9" s="23"/>
      <c r="G9" s="29"/>
      <c r="H9" s="7" t="s">
        <v>50</v>
      </c>
      <c r="I9" s="23">
        <f t="shared" si="0"/>
        <v>23.75</v>
      </c>
      <c r="J9" s="23"/>
      <c r="K9" s="23"/>
      <c r="L9" s="23"/>
      <c r="M9" s="31"/>
      <c r="N9" s="31"/>
      <c r="O9" s="31"/>
      <c r="P9" s="23"/>
      <c r="Q9" s="23"/>
      <c r="R9" s="17"/>
    </row>
    <row r="10" spans="1:18" s="8" customFormat="1" ht="12.75">
      <c r="A10" s="8" t="s">
        <v>51</v>
      </c>
      <c r="B10" s="17">
        <v>28</v>
      </c>
      <c r="C10" s="23"/>
      <c r="D10" s="23"/>
      <c r="E10" s="22">
        <v>27</v>
      </c>
      <c r="F10" s="23"/>
      <c r="G10" s="29"/>
      <c r="H10" s="7" t="s">
        <v>52</v>
      </c>
      <c r="I10" s="23">
        <f t="shared" si="0"/>
        <v>27.5</v>
      </c>
      <c r="J10" s="23"/>
      <c r="K10" s="23"/>
      <c r="L10" s="23"/>
      <c r="M10" s="31"/>
      <c r="N10" s="31"/>
      <c r="O10" s="31"/>
      <c r="P10" s="23"/>
      <c r="Q10" s="23"/>
      <c r="R10" s="17"/>
    </row>
    <row r="11" spans="1:18" s="8" customFormat="1" ht="12.75">
      <c r="A11" s="8" t="s">
        <v>53</v>
      </c>
      <c r="B11" s="17">
        <v>0.6</v>
      </c>
      <c r="C11" s="23"/>
      <c r="D11" s="23"/>
      <c r="E11" s="22">
        <v>0.1</v>
      </c>
      <c r="F11" s="23"/>
      <c r="G11" s="29"/>
      <c r="H11" s="7" t="s">
        <v>54</v>
      </c>
      <c r="I11" s="23">
        <f t="shared" si="0"/>
        <v>0.35</v>
      </c>
      <c r="J11" s="23"/>
      <c r="K11" s="23"/>
      <c r="L11" s="23"/>
      <c r="M11" s="31"/>
      <c r="N11" s="31"/>
      <c r="O11" s="31"/>
      <c r="P11" s="23"/>
      <c r="Q11" s="23"/>
      <c r="R11" s="17"/>
    </row>
    <row r="12" spans="2:18" s="8" customFormat="1" ht="12.75">
      <c r="B12" s="17"/>
      <c r="C12" s="23"/>
      <c r="D12" s="23"/>
      <c r="E12" s="22"/>
      <c r="F12" s="23"/>
      <c r="G12" s="29"/>
      <c r="H12" s="7"/>
      <c r="I12" s="23"/>
      <c r="J12" s="23"/>
      <c r="K12" s="23"/>
      <c r="L12" s="23"/>
      <c r="M12" s="31"/>
      <c r="N12" s="31"/>
      <c r="O12" s="31"/>
      <c r="P12" s="23"/>
      <c r="Q12" s="23"/>
      <c r="R12" s="17"/>
    </row>
    <row r="13" spans="2:20" s="8" customFormat="1" ht="12.75">
      <c r="B13" s="17"/>
      <c r="C13" s="23"/>
      <c r="E13" s="24" t="s">
        <v>85</v>
      </c>
      <c r="J13" s="9"/>
      <c r="K13" s="23"/>
      <c r="L13" s="23"/>
      <c r="O13" s="23"/>
      <c r="P13" s="23"/>
      <c r="Q13" s="23"/>
      <c r="R13" s="17"/>
      <c r="S13" s="7"/>
      <c r="T13" s="23"/>
    </row>
    <row r="14" spans="1:20" s="8" customFormat="1" ht="12.75">
      <c r="A14" s="8" t="s">
        <v>64</v>
      </c>
      <c r="B14" s="19">
        <f>0.5*I5+0.5*I6</f>
        <v>1132.25</v>
      </c>
      <c r="C14" s="23"/>
      <c r="D14" s="23"/>
      <c r="E14" s="23" t="s">
        <v>86</v>
      </c>
      <c r="I14" s="32">
        <f>PI()*((0.01*$B$2*SIN(2*PI()*7.5/360))^2+(0.01*$B$2*(1-COS(2*PI()*7.5/360)))^2)</f>
        <v>0.053753521316958965</v>
      </c>
      <c r="J14" s="23" t="s">
        <v>55</v>
      </c>
      <c r="K14" s="23"/>
      <c r="L14" s="23" t="s">
        <v>65</v>
      </c>
      <c r="M14" s="23"/>
      <c r="N14" s="23"/>
      <c r="O14" s="19">
        <f>I14*B14</f>
        <v>60.86242451112679</v>
      </c>
      <c r="P14" s="23" t="s">
        <v>56</v>
      </c>
      <c r="Q14" s="23"/>
      <c r="R14" s="17"/>
      <c r="S14" s="7"/>
      <c r="T14" s="23"/>
    </row>
    <row r="15" spans="1:20" s="8" customFormat="1" ht="12.75">
      <c r="A15" s="8" t="s">
        <v>57</v>
      </c>
      <c r="B15" s="19">
        <f>I6</f>
        <v>639.5</v>
      </c>
      <c r="C15" s="23"/>
      <c r="D15" s="23"/>
      <c r="E15" s="23" t="s">
        <v>66</v>
      </c>
      <c r="I15" s="32">
        <f>PI()*((0.01*$B$2*SIN(2*PI()*22.5/360))^2+(0.01*$B$2*(1-COS(2*PI()*22.5/360)))^2)-PI()*((0.01*$B$2*SIN(2*PI()*7.5/360))^2+(0.01*$B$2*(1-COS(2*PI()*7.5/360)))^2)</f>
        <v>0.42452548158376546</v>
      </c>
      <c r="J15" s="23" t="s">
        <v>55</v>
      </c>
      <c r="K15" s="23"/>
      <c r="L15" s="23" t="s">
        <v>66</v>
      </c>
      <c r="M15" s="23"/>
      <c r="N15" s="23"/>
      <c r="O15" s="19">
        <f aca="true" t="shared" si="1" ref="O15:O20">I15*B15</f>
        <v>271.484045472818</v>
      </c>
      <c r="P15" s="23" t="s">
        <v>56</v>
      </c>
      <c r="Q15" s="23"/>
      <c r="R15" s="17"/>
      <c r="S15" s="7"/>
      <c r="T15" s="23"/>
    </row>
    <row r="16" spans="1:20" s="8" customFormat="1" ht="12.75">
      <c r="A16" s="8" t="s">
        <v>58</v>
      </c>
      <c r="B16" s="19">
        <f>I7</f>
        <v>114</v>
      </c>
      <c r="C16" s="23"/>
      <c r="D16" s="23"/>
      <c r="E16" s="23" t="s">
        <v>67</v>
      </c>
      <c r="I16" s="32">
        <f>PI()*((0.01*$B$2*SIN(2*PI()*37.5/360))^2+(0.01*$B$2*(1-COS(2*PI()*37.5/360)))^2)-PI()*((0.01*$B$2*SIN(2*PI()*22.5/360))^2+(0.01*$B$2*(1-COS(2*PI()*22.5/360)))^2)</f>
        <v>0.8201202531591265</v>
      </c>
      <c r="J16" s="23" t="s">
        <v>55</v>
      </c>
      <c r="K16" s="23"/>
      <c r="L16" s="23" t="s">
        <v>67</v>
      </c>
      <c r="M16" s="23"/>
      <c r="N16" s="23"/>
      <c r="O16" s="19">
        <f t="shared" si="1"/>
        <v>93.49370886014042</v>
      </c>
      <c r="P16" s="23" t="s">
        <v>56</v>
      </c>
      <c r="Q16" s="23"/>
      <c r="R16" s="17"/>
      <c r="S16" s="7"/>
      <c r="T16" s="23"/>
    </row>
    <row r="17" spans="1:20" s="8" customFormat="1" ht="12.75">
      <c r="A17" s="8" t="s">
        <v>59</v>
      </c>
      <c r="B17" s="19">
        <f>I8</f>
        <v>43.3</v>
      </c>
      <c r="C17" s="23"/>
      <c r="D17" s="23"/>
      <c r="E17" s="23" t="s">
        <v>68</v>
      </c>
      <c r="I17" s="32">
        <f>PI()*((0.01*$B$2*SIN(2*PI()*52.5/360))^2+(0.01*$B$2*(1-COS(2*PI()*52.5/360)))^2)-PI()*((0.01*$B$2*SIN(2*PI()*37.5/360))^2+(0.01*$B$2*(1-COS(2*PI()*37.5/360)))^2)</f>
        <v>1.1598251847944927</v>
      </c>
      <c r="J17" s="23" t="s">
        <v>55</v>
      </c>
      <c r="K17" s="23"/>
      <c r="L17" s="23" t="s">
        <v>68</v>
      </c>
      <c r="M17" s="23"/>
      <c r="N17" s="23"/>
      <c r="O17" s="19">
        <f t="shared" si="1"/>
        <v>50.220430501601534</v>
      </c>
      <c r="P17" s="23" t="s">
        <v>56</v>
      </c>
      <c r="Q17" s="23"/>
      <c r="R17" s="17"/>
      <c r="S17" s="7"/>
      <c r="T17" s="23"/>
    </row>
    <row r="18" spans="1:20" s="8" customFormat="1" ht="12.75">
      <c r="A18" s="8" t="s">
        <v>60</v>
      </c>
      <c r="B18" s="19">
        <f>I9</f>
        <v>23.75</v>
      </c>
      <c r="C18" s="23"/>
      <c r="D18" s="23"/>
      <c r="E18" s="23" t="s">
        <v>69</v>
      </c>
      <c r="I18" s="32">
        <f>PI()*((0.01*$B$2*SIN(2*PI()*67.5/360))^2+(0.01*$B$2*(1-COS(2*PI()*67.5/360)))^2)-PI()*((0.01*$B$2*SIN(2*PI()*52.5/360))^2+(0.01*$B$2*(1-COS(2*PI()*52.5/360)))^2)</f>
        <v>1.4204899467878573</v>
      </c>
      <c r="J18" s="23" t="s">
        <v>55</v>
      </c>
      <c r="K18" s="23"/>
      <c r="L18" s="23" t="s">
        <v>69</v>
      </c>
      <c r="M18" s="23"/>
      <c r="N18" s="23"/>
      <c r="O18" s="19">
        <f t="shared" si="1"/>
        <v>33.73663623621161</v>
      </c>
      <c r="P18" s="23" t="s">
        <v>56</v>
      </c>
      <c r="Q18" s="23"/>
      <c r="R18" s="17"/>
      <c r="S18" s="7"/>
      <c r="T18" s="23"/>
    </row>
    <row r="19" spans="1:20" s="8" customFormat="1" ht="12.75">
      <c r="A19" s="8" t="s">
        <v>61</v>
      </c>
      <c r="B19" s="19">
        <f>I10</f>
        <v>27.5</v>
      </c>
      <c r="C19" s="23"/>
      <c r="D19" s="23"/>
      <c r="E19" s="23" t="s">
        <v>70</v>
      </c>
      <c r="I19" s="32">
        <f>PI()*((0.01*$B$2*SIN(2*PI()*82.5/360))^2+(0.01*$B$2*(1-COS(2*PI()*82.5/360)))^2)-PI()*((0.01*$B$2*SIN(2*PI()*67.5/360))^2+(0.01*$B$2*(1-COS(2*PI()*67.5/360)))^2)</f>
        <v>1.5843506663782585</v>
      </c>
      <c r="J19" s="23" t="s">
        <v>55</v>
      </c>
      <c r="K19" s="23"/>
      <c r="L19" s="23" t="s">
        <v>70</v>
      </c>
      <c r="M19" s="23"/>
      <c r="N19" s="23"/>
      <c r="O19" s="19">
        <f t="shared" si="1"/>
        <v>43.56964332540211</v>
      </c>
      <c r="P19" s="23" t="s">
        <v>56</v>
      </c>
      <c r="Q19" s="23"/>
      <c r="R19" s="17"/>
      <c r="S19" s="7"/>
      <c r="T19" s="23"/>
    </row>
    <row r="20" spans="1:20" s="8" customFormat="1" ht="12.75">
      <c r="A20" s="8" t="s">
        <v>62</v>
      </c>
      <c r="B20" s="19">
        <f>0.5*I10+0.5*I11</f>
        <v>13.925</v>
      </c>
      <c r="C20" s="23"/>
      <c r="D20" s="23"/>
      <c r="E20" s="23" t="s">
        <v>71</v>
      </c>
      <c r="I20" s="32">
        <f>PI()*((0.01*$B$2*SIN(2*PI()*90/360))^2+(0.01*$B$2*(1-COS(2*PI()*90/360)))^2)-PI()*((0.01*$B$2*SIN(2*PI()*82.5/360))^2+(0.01*$B$2*(1-COS(2*PI()*82.5/360)))^2)</f>
        <v>0.8201202531591258</v>
      </c>
      <c r="J20" s="23" t="s">
        <v>55</v>
      </c>
      <c r="K20" s="23"/>
      <c r="L20" s="23" t="s">
        <v>71</v>
      </c>
      <c r="M20" s="23"/>
      <c r="N20" s="23"/>
      <c r="O20" s="19">
        <f t="shared" si="1"/>
        <v>11.420174525240828</v>
      </c>
      <c r="P20" s="23" t="s">
        <v>56</v>
      </c>
      <c r="Q20" s="23"/>
      <c r="R20" s="17"/>
      <c r="S20" s="7"/>
      <c r="T20" s="23"/>
    </row>
    <row r="21" spans="2:20" s="8" customFormat="1" ht="12.75">
      <c r="B21" s="17"/>
      <c r="C21" s="23"/>
      <c r="D21" s="23"/>
      <c r="E21" s="29"/>
      <c r="F21" s="23"/>
      <c r="G21" s="19" t="s">
        <v>63</v>
      </c>
      <c r="H21" s="23"/>
      <c r="I21" s="33">
        <f>SUM(I14:I20)</f>
        <v>6.283185307179585</v>
      </c>
      <c r="J21" s="23" t="s">
        <v>55</v>
      </c>
      <c r="K21" s="23"/>
      <c r="L21" s="19" t="s">
        <v>63</v>
      </c>
      <c r="M21" s="19"/>
      <c r="N21" s="19"/>
      <c r="O21" s="19">
        <f>SUM(O14:O20)</f>
        <v>564.7870634325412</v>
      </c>
      <c r="P21" s="19" t="s">
        <v>56</v>
      </c>
      <c r="Q21" s="23"/>
      <c r="R21" s="17"/>
      <c r="S21" s="7"/>
      <c r="T21" s="23"/>
    </row>
    <row r="22" spans="2:20" s="8" customFormat="1" ht="12.75">
      <c r="B22" s="17"/>
      <c r="C22" s="23"/>
      <c r="D22" s="23"/>
      <c r="E22" s="29"/>
      <c r="F22" s="23"/>
      <c r="G22" s="29"/>
      <c r="H22" s="23"/>
      <c r="I22" s="29"/>
      <c r="J22" s="23"/>
      <c r="K22" s="23"/>
      <c r="L22" s="23"/>
      <c r="M22" s="23"/>
      <c r="N22" s="23"/>
      <c r="O22" s="23"/>
      <c r="P22" s="23"/>
      <c r="Q22" s="23"/>
      <c r="R22" s="17"/>
      <c r="S22" s="7"/>
      <c r="T22" s="23"/>
    </row>
    <row r="23" spans="1:20" s="8" customFormat="1" ht="12.75">
      <c r="A23" s="8" t="s">
        <v>87</v>
      </c>
      <c r="B23" s="17"/>
      <c r="C23" s="23"/>
      <c r="D23" s="23"/>
      <c r="E23" s="29"/>
      <c r="F23" s="23"/>
      <c r="I23" s="29"/>
      <c r="K23" s="23">
        <f>O21</f>
        <v>564.7870634325412</v>
      </c>
      <c r="L23" s="23" t="s">
        <v>56</v>
      </c>
      <c r="M23" s="23"/>
      <c r="N23" s="23"/>
      <c r="O23" s="23"/>
      <c r="P23" s="23"/>
      <c r="Q23" s="23"/>
      <c r="R23" s="17"/>
      <c r="S23" s="7"/>
      <c r="T23" s="23"/>
    </row>
    <row r="24" spans="1:20" s="8" customFormat="1" ht="12.75">
      <c r="A24" s="8" t="s">
        <v>88</v>
      </c>
      <c r="B24" s="17"/>
      <c r="C24" s="23"/>
      <c r="D24" s="23"/>
      <c r="E24" s="29"/>
      <c r="F24" s="23"/>
      <c r="G24" s="29"/>
      <c r="H24" s="23"/>
      <c r="I24" s="29"/>
      <c r="J24" s="23"/>
      <c r="K24" s="23">
        <f>K23*'calibratie_luxmeters (2)'!C5</f>
        <v>575.4686154596342</v>
      </c>
      <c r="L24" s="23" t="s">
        <v>56</v>
      </c>
      <c r="M24" s="23"/>
      <c r="N24" s="23"/>
      <c r="O24" s="23"/>
      <c r="P24" s="23"/>
      <c r="Q24" s="23"/>
      <c r="R24" s="17"/>
      <c r="S24" s="7"/>
      <c r="T24" s="23"/>
    </row>
    <row r="25" spans="2:20" s="8" customFormat="1" ht="12.75">
      <c r="B25" s="17"/>
      <c r="C25" s="23"/>
      <c r="D25" s="23"/>
      <c r="E25" s="29"/>
      <c r="F25" s="23"/>
      <c r="G25" s="29"/>
      <c r="H25" s="23"/>
      <c r="I25" s="29"/>
      <c r="J25" s="23"/>
      <c r="K25" s="23"/>
      <c r="L25" s="23"/>
      <c r="M25" s="23"/>
      <c r="N25" s="23"/>
      <c r="O25" s="23"/>
      <c r="P25" s="23"/>
      <c r="Q25" s="23"/>
      <c r="R25" s="17"/>
      <c r="S25" s="7"/>
      <c r="T25" s="23"/>
    </row>
    <row r="26" spans="1:20" s="8" customFormat="1" ht="12.75">
      <c r="A26" s="8" t="s">
        <v>89</v>
      </c>
      <c r="B26" s="17"/>
      <c r="C26" s="23"/>
      <c r="D26" s="23"/>
      <c r="E26" s="29"/>
      <c r="F26" s="23"/>
      <c r="G26" s="29"/>
      <c r="H26" s="23"/>
      <c r="I26" s="29"/>
      <c r="J26" s="23"/>
      <c r="K26" s="23">
        <f>K24/L2</f>
        <v>48.11610497154132</v>
      </c>
      <c r="L26" s="23" t="s">
        <v>72</v>
      </c>
      <c r="M26" s="23"/>
      <c r="N26" s="23"/>
      <c r="O26" s="23"/>
      <c r="P26" s="23"/>
      <c r="Q26" s="23"/>
      <c r="R26" s="17"/>
      <c r="S26" s="7"/>
      <c r="T26" s="23"/>
    </row>
    <row r="27" spans="2:20" s="8" customFormat="1" ht="12.75">
      <c r="B27" s="17"/>
      <c r="C27" s="23"/>
      <c r="D27" s="23"/>
      <c r="E27" s="29"/>
      <c r="F27" s="23"/>
      <c r="G27" s="29"/>
      <c r="H27" s="23"/>
      <c r="I27" s="29"/>
      <c r="J27" s="23"/>
      <c r="K27" s="23"/>
      <c r="L27" s="23"/>
      <c r="M27" s="23"/>
      <c r="N27" s="23"/>
      <c r="O27" s="23"/>
      <c r="P27" s="23"/>
      <c r="Q27" s="23"/>
      <c r="R27" s="17"/>
      <c r="S27" s="7"/>
      <c r="T27" s="23"/>
    </row>
    <row r="28" s="8" customFormat="1" ht="12.75">
      <c r="A28" s="9"/>
    </row>
    <row r="29" s="8" customFormat="1" ht="12.75"/>
    <row r="30" s="8" customFormat="1" ht="12.75"/>
    <row r="31" s="8" customFormat="1" ht="12.75"/>
    <row r="32" s="8" customFormat="1" ht="12.75"/>
    <row r="33" s="8" customFormat="1" ht="12.75"/>
    <row r="34" s="8" customFormat="1" ht="12.75"/>
    <row r="35" s="8" customFormat="1" ht="12.75"/>
    <row r="36" s="8" customFormat="1" ht="12.75"/>
    <row r="37" s="8" customFormat="1" ht="12.75"/>
    <row r="38" s="8" customFormat="1" ht="12.75"/>
    <row r="39" s="8" customFormat="1" ht="12.75"/>
    <row r="40" s="8" customFormat="1" ht="12.75"/>
    <row r="41" s="8" customFormat="1" ht="12.75"/>
    <row r="42" s="8" customFormat="1" ht="12.75"/>
    <row r="43" s="8" customFormat="1" ht="12.75"/>
    <row r="44" s="8" customFormat="1" ht="12.75"/>
    <row r="45" s="8" customFormat="1" ht="12.75"/>
    <row r="46" s="8" customFormat="1" ht="12.75"/>
    <row r="47" s="8" customFormat="1" ht="12.75"/>
    <row r="48" s="8" customFormat="1" ht="12.75"/>
    <row r="49" s="8" customFormat="1" ht="12.75"/>
    <row r="50" s="8" customFormat="1" ht="12.75"/>
    <row r="51" s="8" customFormat="1" ht="12.75"/>
    <row r="52" s="8" customFormat="1" ht="12.75"/>
    <row r="53" s="8" customFormat="1" ht="12.75"/>
    <row r="54" s="8" customFormat="1" ht="12.75"/>
    <row r="55" s="8" customFormat="1" ht="12.75"/>
    <row r="56" s="8" customFormat="1" ht="12.75"/>
    <row r="57" s="8" customFormat="1" ht="12.75"/>
    <row r="58" s="8" customFormat="1" ht="12.75"/>
    <row r="59" s="8" customFormat="1" ht="12.75"/>
    <row r="60" s="8" customFormat="1" ht="12.75"/>
    <row r="61" s="8" customFormat="1" ht="12.75"/>
    <row r="62" s="8" customFormat="1" ht="12.75"/>
    <row r="63" s="8" customFormat="1" ht="12.75"/>
    <row r="64" s="8" customFormat="1" ht="12.75"/>
    <row r="65" s="8" customFormat="1" ht="12.75"/>
    <row r="66" s="8" customFormat="1" ht="12.75"/>
    <row r="67" s="8" customFormat="1" ht="12.75"/>
    <row r="68" s="8" customFormat="1" ht="12.75"/>
    <row r="69" s="8" customFormat="1" ht="12.75"/>
    <row r="70" s="8" customFormat="1" ht="12.75"/>
    <row r="71" s="8" customFormat="1" ht="12.75"/>
    <row r="72" s="8" customFormat="1" ht="12.75"/>
    <row r="73" s="8" customFormat="1" ht="12.75"/>
    <row r="74" s="8" customFormat="1" ht="12.75"/>
    <row r="75" s="8" customFormat="1" ht="12.75"/>
    <row r="76" s="8" customFormat="1" ht="12.75"/>
    <row r="77" s="8" customFormat="1" ht="12.75"/>
    <row r="78" s="8" customFormat="1" ht="12.75"/>
    <row r="79" s="8" customFormat="1" ht="12.75"/>
    <row r="80" s="8" customFormat="1" ht="12.75"/>
    <row r="81" s="8" customFormat="1" ht="12.75"/>
    <row r="82" s="8" customFormat="1" ht="12.75"/>
    <row r="83" s="8" customFormat="1" ht="12.75"/>
    <row r="84" s="8" customFormat="1" ht="12.75"/>
    <row r="85" s="8" customFormat="1" ht="12.75"/>
    <row r="86" s="8" customFormat="1" ht="12.75"/>
    <row r="87" s="8" customFormat="1" ht="12.75"/>
    <row r="88" s="8" customFormat="1" ht="12.75"/>
    <row r="89" s="8" customFormat="1" ht="12.75"/>
    <row r="90" s="8" customFormat="1" ht="12.75"/>
    <row r="91" s="8" customFormat="1" ht="12.75"/>
    <row r="92" s="8" customFormat="1" ht="12.75"/>
    <row r="93" s="8" customFormat="1" ht="12.75"/>
    <row r="94" s="8" customFormat="1" ht="12.75"/>
    <row r="95" s="8" customFormat="1" ht="12.75"/>
    <row r="96" s="8" customFormat="1" ht="12.75"/>
    <row r="97" s="8" customFormat="1" ht="12.75"/>
    <row r="98" s="8" customFormat="1" ht="12.75"/>
    <row r="99" s="8" customFormat="1" ht="12.75"/>
    <row r="100" s="8" customFormat="1" ht="12.75"/>
    <row r="101" s="8" customFormat="1" ht="12.75"/>
    <row r="102" s="8" customFormat="1" ht="12.75"/>
    <row r="103" s="8" customFormat="1" ht="12.75"/>
    <row r="104" s="8" customFormat="1" ht="12.75"/>
    <row r="105" s="8" customFormat="1" ht="12.75"/>
    <row r="106" s="8" customFormat="1" ht="12.75"/>
    <row r="107" s="8" customFormat="1" ht="12.75"/>
    <row r="108" s="8" customFormat="1" ht="12.75"/>
    <row r="109" s="8" customFormat="1" ht="12.75"/>
    <row r="110" s="8" customFormat="1" ht="12.75"/>
    <row r="111" s="8" customFormat="1" ht="12.75"/>
    <row r="112" s="8" customFormat="1" ht="12.75"/>
    <row r="113" s="8" customFormat="1" ht="12.75"/>
    <row r="114" s="8" customFormat="1" ht="12.75"/>
    <row r="115" s="8" customFormat="1" ht="12.75"/>
    <row r="116" s="8" customFormat="1" ht="12.75"/>
    <row r="117" s="8" customFormat="1" ht="12.75"/>
    <row r="118" s="8" customFormat="1" ht="12.75"/>
    <row r="119" s="8" customFormat="1" ht="12.75"/>
    <row r="120" s="8" customFormat="1" ht="12.75"/>
    <row r="121" s="8" customFormat="1" ht="12.75"/>
    <row r="122" s="8" customFormat="1" ht="12.75"/>
    <row r="123" s="8" customFormat="1" ht="12.75"/>
    <row r="124" s="8" customFormat="1" ht="12.75"/>
    <row r="125" s="8" customFormat="1" ht="12.75"/>
    <row r="126" s="8" customFormat="1" ht="12.75"/>
    <row r="127" s="8" customFormat="1" ht="12.75"/>
    <row r="128" s="8" customFormat="1" ht="12.75"/>
    <row r="129" s="8" customFormat="1" ht="12.75"/>
    <row r="130" s="8" customFormat="1" ht="12.75"/>
    <row r="131" s="8" customFormat="1" ht="12.75"/>
    <row r="132" s="8" customFormat="1" ht="12.75"/>
    <row r="133" s="8" customFormat="1" ht="12.75"/>
    <row r="134" s="8" customFormat="1" ht="12.75"/>
    <row r="135" s="8" customFormat="1" ht="12.75"/>
    <row r="136" s="8" customFormat="1" ht="12.75"/>
    <row r="137" s="8" customFormat="1" ht="12.75"/>
    <row r="138" s="8" customFormat="1" ht="12.75"/>
    <row r="139" s="8" customFormat="1" ht="12.75"/>
    <row r="140" s="8" customFormat="1" ht="12.75"/>
    <row r="141" s="8" customFormat="1" ht="12.75"/>
    <row r="142" s="8" customFormat="1" ht="12.75"/>
    <row r="143" s="8" customFormat="1" ht="12.75"/>
    <row r="144" s="8" customFormat="1" ht="12.75"/>
    <row r="145" s="8" customFormat="1" ht="12.75"/>
    <row r="146" s="8" customFormat="1" ht="12.75"/>
    <row r="147" s="8" customFormat="1" ht="12.75"/>
    <row r="148" s="8" customFormat="1" ht="12.75"/>
    <row r="149" s="8" customFormat="1" ht="12.75"/>
    <row r="150" s="8" customFormat="1" ht="12.75"/>
    <row r="151" s="8" customFormat="1" ht="12.75"/>
    <row r="152" s="8" customFormat="1" ht="12.75"/>
    <row r="153" s="8" customFormat="1" ht="12.75"/>
    <row r="154" s="8" customFormat="1" ht="12.75"/>
    <row r="155" s="8" customFormat="1" ht="12.75"/>
    <row r="156" s="8" customFormat="1" ht="12.75"/>
    <row r="157" s="8" customFormat="1" ht="12.75"/>
    <row r="158" s="8" customFormat="1" ht="12.75"/>
    <row r="159" s="8" customFormat="1" ht="12.75"/>
    <row r="160" s="8" customFormat="1" ht="12.75"/>
    <row r="161" s="8" customFormat="1" ht="12.75"/>
    <row r="162" s="8" customFormat="1" ht="12.75"/>
    <row r="163" s="8" customFormat="1" ht="12.75"/>
    <row r="164" s="8" customFormat="1" ht="12.75"/>
    <row r="165" s="8" customFormat="1" ht="12.75"/>
    <row r="166" s="8" customFormat="1" ht="12.75"/>
    <row r="167" s="8" customFormat="1" ht="12.75"/>
    <row r="168" s="8" customFormat="1" ht="12.75"/>
    <row r="169" s="8" customFormat="1" ht="12.75"/>
    <row r="170" s="8" customFormat="1" ht="12.75"/>
    <row r="171" s="8" customFormat="1" ht="12.75"/>
    <row r="172" s="8" customFormat="1" ht="12.75"/>
    <row r="173" s="8" customFormat="1" ht="12.75"/>
    <row r="174" s="8" customFormat="1" ht="12.75"/>
    <row r="175" s="8" customFormat="1" ht="12.75"/>
    <row r="176" s="8" customFormat="1" ht="12.75"/>
    <row r="177" s="8" customFormat="1" ht="12.75"/>
    <row r="178" s="8" customFormat="1" ht="12.75"/>
    <row r="179" s="8" customFormat="1" ht="12.75"/>
    <row r="180" s="8" customFormat="1" ht="12.75"/>
    <row r="181" s="8" customFormat="1" ht="12.75"/>
    <row r="182" s="8" customFormat="1" ht="12.75"/>
    <row r="183" s="8" customFormat="1" ht="12.75"/>
    <row r="184" s="8" customFormat="1" ht="12.75"/>
    <row r="185" s="8" customFormat="1" ht="12.75"/>
    <row r="186" s="8" customFormat="1" ht="12.75"/>
    <row r="187" s="8" customFormat="1" ht="12.75"/>
    <row r="188" s="8" customFormat="1" ht="12.75"/>
    <row r="189" s="8" customFormat="1" ht="12.75"/>
    <row r="190" s="8" customFormat="1" ht="12.75"/>
    <row r="191" s="8" customFormat="1" ht="12.75"/>
    <row r="192" s="8" customFormat="1" ht="12.75"/>
    <row r="193" s="8" customFormat="1" ht="12.75"/>
    <row r="194" s="8" customFormat="1" ht="12.75"/>
    <row r="195" s="8" customFormat="1" ht="12.75"/>
    <row r="196" s="8" customFormat="1" ht="12.75"/>
    <row r="197" s="8" customFormat="1" ht="12.75"/>
    <row r="198" s="8" customFormat="1" ht="12.75"/>
    <row r="199" s="8" customFormat="1" ht="12.75"/>
    <row r="200" s="8" customFormat="1" ht="12.75"/>
    <row r="201" s="8" customFormat="1" ht="12.75"/>
    <row r="202" s="8" customFormat="1" ht="12.75"/>
    <row r="203" s="8" customFormat="1" ht="12.75"/>
    <row r="204" s="8" customFormat="1" ht="12.75"/>
    <row r="205" s="8" customFormat="1" ht="12.75"/>
    <row r="206" s="8" customFormat="1" ht="12.75"/>
    <row r="207" s="8" customFormat="1" ht="12.75"/>
    <row r="208" s="8" customFormat="1" ht="12.75"/>
    <row r="209" s="8" customFormat="1" ht="12.75"/>
    <row r="210" s="8" customFormat="1" ht="12.75"/>
    <row r="211" s="8" customFormat="1" ht="12.75"/>
    <row r="212" s="8" customFormat="1" ht="12.75"/>
    <row r="213" s="8" customFormat="1" ht="12.75"/>
    <row r="214" s="8" customFormat="1" ht="12.75"/>
    <row r="215" s="8" customFormat="1" ht="12.75"/>
    <row r="216" s="8" customFormat="1" ht="12.75"/>
    <row r="217" s="8" customFormat="1" ht="12.75"/>
    <row r="218" s="8" customFormat="1" ht="12.75"/>
    <row r="219" s="8" customFormat="1" ht="12.75"/>
    <row r="220" s="8" customFormat="1" ht="12.75"/>
    <row r="221" s="8" customFormat="1" ht="12.75"/>
    <row r="222" s="8" customFormat="1" ht="12.75"/>
    <row r="223" s="8" customFormat="1" ht="12.75"/>
    <row r="224" s="8" customFormat="1" ht="12.75"/>
    <row r="225" s="8" customFormat="1" ht="12.75"/>
    <row r="226" s="8" customFormat="1" ht="12.75"/>
    <row r="227" s="8" customFormat="1" ht="12.75"/>
    <row r="228" s="8" customFormat="1" ht="12.75"/>
    <row r="229" s="8" customFormat="1" ht="12.75"/>
    <row r="230" s="8" customFormat="1" ht="12.75"/>
    <row r="231" s="8" customFormat="1" ht="12.75"/>
    <row r="232" s="8" customFormat="1" ht="12.75"/>
    <row r="233" s="8" customFormat="1" ht="12.75"/>
    <row r="234" s="8" customFormat="1" ht="12.75"/>
    <row r="235" s="8" customFormat="1" ht="12.75"/>
    <row r="236" s="8" customFormat="1" ht="12.75"/>
    <row r="237" s="8" customFormat="1" ht="12.75"/>
    <row r="238" s="8" customFormat="1" ht="12.75"/>
    <row r="239" s="8" customFormat="1" ht="12.75"/>
    <row r="240" s="8" customFormat="1" ht="12.75"/>
    <row r="241" s="8" customFormat="1" ht="12.75"/>
    <row r="242" s="8" customFormat="1" ht="12.75"/>
    <row r="243" s="8" customFormat="1" ht="12.75"/>
    <row r="244" s="8" customFormat="1" ht="12.75"/>
    <row r="245" s="8" customFormat="1" ht="12.75"/>
    <row r="246" s="8" customFormat="1" ht="12.75"/>
    <row r="247" s="8" customFormat="1" ht="12.75"/>
    <row r="248" s="8" customFormat="1" ht="12.75"/>
    <row r="249" s="8" customFormat="1" ht="12.75"/>
    <row r="250" s="8" customFormat="1" ht="12.75"/>
    <row r="251" s="8" customFormat="1" ht="12.75"/>
    <row r="252" s="8" customFormat="1" ht="12.75"/>
    <row r="253" s="8" customFormat="1" ht="12.75"/>
    <row r="254" s="8" customFormat="1" ht="12.75"/>
    <row r="255" s="8" customFormat="1" ht="12.75"/>
    <row r="256" s="8" customFormat="1" ht="12.75"/>
    <row r="257" s="8" customFormat="1" ht="12.75"/>
    <row r="258" s="8" customFormat="1" ht="12.75"/>
    <row r="259" s="8" customFormat="1" ht="12.75"/>
    <row r="260" s="8" customFormat="1" ht="12.75"/>
    <row r="261" s="8" customFormat="1" ht="12.75"/>
    <row r="262" s="8" customFormat="1" ht="12.75"/>
    <row r="263" s="8" customFormat="1" ht="12.75"/>
    <row r="264" s="8" customFormat="1" ht="12.75"/>
    <row r="265" s="8" customFormat="1" ht="12.75"/>
    <row r="266" s="8" customFormat="1" ht="12.75"/>
    <row r="267" s="8" customFormat="1" ht="12.75"/>
    <row r="268" s="8" customFormat="1" ht="12.75"/>
    <row r="269" s="8" customFormat="1" ht="12.75"/>
    <row r="270" s="8" customFormat="1" ht="12.75"/>
    <row r="271" s="8" customFormat="1" ht="12.75"/>
    <row r="272" s="8" customFormat="1" ht="12.75"/>
    <row r="273" s="8" customFormat="1" ht="12.75"/>
    <row r="274" s="8" customFormat="1" ht="12.75"/>
    <row r="275" s="8" customFormat="1" ht="12.75"/>
    <row r="276" s="8" customFormat="1" ht="12.75"/>
    <row r="277" s="8" customFormat="1" ht="12.75"/>
    <row r="278" s="8" customFormat="1" ht="12.75"/>
    <row r="279" s="8" customFormat="1" ht="12.75"/>
    <row r="280" s="8" customFormat="1" ht="12.75"/>
    <row r="281" s="8" customFormat="1" ht="12.75"/>
    <row r="282" s="8" customFormat="1" ht="12.75"/>
    <row r="283" s="8" customFormat="1" ht="12.75"/>
    <row r="284" s="8" customFormat="1" ht="12.75"/>
    <row r="285" s="8" customFormat="1" ht="12.75"/>
    <row r="286" s="8" customFormat="1" ht="12.75"/>
    <row r="287" s="8" customFormat="1" ht="12.75"/>
    <row r="288" s="8" customFormat="1" ht="12.75"/>
    <row r="289" s="8" customFormat="1" ht="12.75"/>
    <row r="290" s="8" customFormat="1" ht="12.75"/>
    <row r="291" s="8" customFormat="1" ht="12.75"/>
    <row r="292" s="8" customFormat="1" ht="12.75"/>
    <row r="293" s="8" customFormat="1" ht="12.75"/>
    <row r="294" s="8" customFormat="1" ht="12.75"/>
    <row r="295" s="8" customFormat="1" ht="12.75"/>
    <row r="296" s="8" customFormat="1" ht="12.75"/>
    <row r="297" s="8" customFormat="1" ht="12.75"/>
    <row r="298" s="8" customFormat="1" ht="12.75"/>
    <row r="299" s="8" customFormat="1" ht="12.75"/>
    <row r="300" s="8" customFormat="1" ht="12.75"/>
    <row r="301" s="8" customFormat="1" ht="12.75"/>
    <row r="302" s="8" customFormat="1" ht="12.75"/>
    <row r="303" s="8" customFormat="1" ht="12.75"/>
    <row r="304" s="8" customFormat="1" ht="12.75"/>
    <row r="305" s="8" customFormat="1" ht="12.75"/>
    <row r="306" s="8" customFormat="1" ht="12.75"/>
    <row r="307" s="8" customFormat="1" ht="12.75"/>
    <row r="308" s="8" customFormat="1" ht="12.75"/>
    <row r="309" s="8" customFormat="1" ht="12.75"/>
    <row r="310" s="8" customFormat="1" ht="12.75"/>
    <row r="311" s="8" customFormat="1" ht="12.75"/>
    <row r="312" s="8" customFormat="1" ht="12.75"/>
    <row r="313" s="8" customFormat="1" ht="12.75"/>
    <row r="314" s="8" customFormat="1" ht="12.75"/>
    <row r="315" s="8" customFormat="1" ht="12.75"/>
    <row r="316" s="8" customFormat="1" ht="12.75"/>
    <row r="317" s="8" customFormat="1" ht="12.75"/>
    <row r="318" s="8" customFormat="1" ht="12.75"/>
    <row r="319" s="8" customFormat="1" ht="12.75"/>
    <row r="320" s="8" customFormat="1" ht="12.75"/>
    <row r="321" s="8" customFormat="1" ht="12.75"/>
    <row r="322" s="8" customFormat="1" ht="12.75"/>
    <row r="323" s="8" customFormat="1" ht="12.75"/>
    <row r="324" s="8" customFormat="1" ht="12.75"/>
    <row r="325" s="8" customFormat="1" ht="12.75"/>
    <row r="326" s="8" customFormat="1" ht="12.75"/>
    <row r="327" s="8" customFormat="1" ht="12.75"/>
    <row r="328" s="8" customFormat="1" ht="12.75"/>
    <row r="329" s="8" customFormat="1" ht="12.75"/>
  </sheetData>
  <printOptions/>
  <pageMargins left="0.7875" right="0.7875" top="1.0527777777777778" bottom="1.0527777777777778" header="0.7875" footer="0.7875"/>
  <pageSetup horizontalDpi="300" verticalDpi="300" orientation="portrait" paperSize="9" r:id="rId3"/>
  <headerFooter alignWithMargins="0">
    <oddHeader>&amp;C&amp;12&amp;A</oddHeader>
    <oddFooter>&amp;C&amp;12Page &amp;P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C4" sqref="C4"/>
    </sheetView>
  </sheetViews>
  <sheetFormatPr defaultColWidth="9.00390625" defaultRowHeight="12.75"/>
  <cols>
    <col min="1" max="1" width="3.375" style="0" customWidth="1"/>
    <col min="2" max="2" width="10.00390625" style="0" customWidth="1"/>
    <col min="3" max="3" width="13.00390625" style="0" customWidth="1"/>
    <col min="4" max="16384" width="10.00390625" style="0" customWidth="1"/>
  </cols>
  <sheetData>
    <row r="1" spans="1:7" ht="12.75">
      <c r="A1" t="s">
        <v>73</v>
      </c>
      <c r="B1" t="s">
        <v>74</v>
      </c>
      <c r="C1" s="5">
        <v>1692</v>
      </c>
      <c r="D1" s="5"/>
      <c r="E1" s="5"/>
      <c r="F1" s="5"/>
      <c r="G1" s="5"/>
    </row>
    <row r="2" spans="1:7" ht="12.75">
      <c r="A2" t="s">
        <v>75</v>
      </c>
      <c r="B2" t="s">
        <v>76</v>
      </c>
      <c r="C2" s="5">
        <v>1724</v>
      </c>
      <c r="D2" s="5"/>
      <c r="E2" s="5"/>
      <c r="F2" s="5"/>
      <c r="G2" s="5"/>
    </row>
    <row r="3" spans="2:10" ht="12.75">
      <c r="B3" t="s">
        <v>77</v>
      </c>
      <c r="C3" s="25">
        <f>C1*$C$5</f>
        <v>1724</v>
      </c>
      <c r="D3" s="25">
        <f>D1*$C$5</f>
        <v>0</v>
      </c>
      <c r="E3" s="25">
        <f>E1*$C$5</f>
        <v>0</v>
      </c>
      <c r="F3" s="25">
        <f>F1*$C$5</f>
        <v>0</v>
      </c>
      <c r="G3" s="25">
        <f>G1*$C$5</f>
        <v>0</v>
      </c>
      <c r="H3" s="25"/>
      <c r="I3" s="25"/>
      <c r="J3" s="25"/>
    </row>
    <row r="4" ht="12.75">
      <c r="C4" t="s">
        <v>78</v>
      </c>
    </row>
    <row r="5" spans="2:5" ht="12.75">
      <c r="B5" s="6" t="s">
        <v>79</v>
      </c>
      <c r="C5" s="6">
        <f>C2/C1</f>
        <v>1.0189125295508275</v>
      </c>
      <c r="D5" s="6" t="e">
        <f>D2/D1</f>
        <v>#DIV/0!</v>
      </c>
      <c r="E5" s="6" t="e">
        <f>E2/E1</f>
        <v>#DIV/0!</v>
      </c>
    </row>
    <row r="6" spans="2:4" ht="12.75">
      <c r="B6" s="26"/>
      <c r="C6" s="1"/>
      <c r="D6" s="1"/>
    </row>
    <row r="7" spans="2:4" ht="12.75">
      <c r="B7" s="26"/>
      <c r="C7" s="27"/>
      <c r="D7" s="1"/>
    </row>
    <row r="8" spans="2:6" ht="12.75">
      <c r="B8" s="7"/>
      <c r="C8" s="8"/>
      <c r="D8" s="8"/>
      <c r="E8" s="8"/>
      <c r="F8" s="9"/>
    </row>
    <row r="9" spans="2:4" ht="12.75">
      <c r="B9" s="7"/>
      <c r="C9" s="28"/>
      <c r="D9" s="1"/>
    </row>
  </sheetData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&amp;C&amp;12&amp;A</oddHeader>
    <oddFooter>&amp;C&amp;12Page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34"/>
  <sheetViews>
    <sheetView workbookViewId="0" topLeftCell="A1">
      <selection activeCell="G31" sqref="G31"/>
    </sheetView>
  </sheetViews>
  <sheetFormatPr defaultColWidth="9.00390625" defaultRowHeight="12.75"/>
  <cols>
    <col min="1" max="1" width="8.00390625" style="38" customWidth="1"/>
    <col min="2" max="2" width="9.00390625" style="39" bestFit="1" customWidth="1"/>
    <col min="3" max="3" width="8.75390625" style="39" customWidth="1"/>
    <col min="4" max="5" width="8.00390625" style="39" customWidth="1"/>
    <col min="6" max="6" width="12.625" style="40" bestFit="1" customWidth="1"/>
    <col min="7" max="7" width="8.00390625" style="43" customWidth="1"/>
    <col min="8" max="8" width="9.00390625" style="40" bestFit="1" customWidth="1"/>
    <col min="9" max="16384" width="8.00390625" style="39" customWidth="1"/>
  </cols>
  <sheetData>
    <row r="1" ht="12.75"/>
    <row r="2" spans="1:10" s="35" customFormat="1" ht="12.75">
      <c r="A2" s="34" t="s">
        <v>90</v>
      </c>
      <c r="B2" s="35" t="s">
        <v>91</v>
      </c>
      <c r="C2" s="35" t="s">
        <v>92</v>
      </c>
      <c r="D2" s="35" t="s">
        <v>93</v>
      </c>
      <c r="E2" s="35" t="s">
        <v>94</v>
      </c>
      <c r="F2" s="36" t="s">
        <v>95</v>
      </c>
      <c r="G2" s="37" t="s">
        <v>96</v>
      </c>
      <c r="H2" s="36" t="s">
        <v>97</v>
      </c>
      <c r="I2" s="35" t="s">
        <v>98</v>
      </c>
      <c r="J2" s="35" t="s">
        <v>5</v>
      </c>
    </row>
    <row r="3" spans="1:8" ht="12.75">
      <c r="A3" s="38">
        <v>0.5520833333333334</v>
      </c>
      <c r="B3" s="39">
        <v>0</v>
      </c>
      <c r="C3" s="39">
        <v>0</v>
      </c>
      <c r="D3" s="39">
        <v>0</v>
      </c>
      <c r="E3" s="39">
        <v>0</v>
      </c>
      <c r="F3" s="40">
        <v>0.7</v>
      </c>
      <c r="G3" s="41">
        <f aca="true" t="shared" si="0" ref="G3:G13">F3*0.01/2</f>
        <v>0.0034999999999999996</v>
      </c>
      <c r="H3" s="40">
        <f aca="true" t="shared" si="1" ref="H3:H12">G3*E3</f>
        <v>0</v>
      </c>
    </row>
    <row r="4" spans="1:10" ht="12.75">
      <c r="A4" s="38">
        <v>0.5527777777777778</v>
      </c>
      <c r="B4" s="39">
        <v>233</v>
      </c>
      <c r="C4" s="39">
        <v>0.096</v>
      </c>
      <c r="D4" s="39">
        <v>12.78</v>
      </c>
      <c r="E4" s="39">
        <v>17.67</v>
      </c>
      <c r="F4" s="40">
        <v>116.7</v>
      </c>
      <c r="G4" s="41">
        <f t="shared" si="0"/>
        <v>0.5835</v>
      </c>
      <c r="H4" s="40">
        <f t="shared" si="1"/>
        <v>10.310445000000001</v>
      </c>
      <c r="I4" s="42">
        <f aca="true" t="shared" si="2" ref="I4:I12">H4/D4</f>
        <v>0.8067640845070424</v>
      </c>
      <c r="J4" s="42">
        <f aca="true" t="shared" si="3" ref="J4:J12">D4/B4/C4</f>
        <v>0.571351931330472</v>
      </c>
    </row>
    <row r="5" spans="1:10" ht="12.75">
      <c r="A5" s="38">
        <v>0.5548611111111111</v>
      </c>
      <c r="B5" s="39">
        <v>231</v>
      </c>
      <c r="C5" s="39">
        <v>0.093</v>
      </c>
      <c r="D5" s="39">
        <v>12.11</v>
      </c>
      <c r="E5" s="39">
        <v>17.51</v>
      </c>
      <c r="F5" s="40">
        <v>117.14</v>
      </c>
      <c r="G5" s="41">
        <f t="shared" si="0"/>
        <v>0.5857</v>
      </c>
      <c r="H5" s="40">
        <f t="shared" si="1"/>
        <v>10.255607000000001</v>
      </c>
      <c r="I5" s="42">
        <f t="shared" si="2"/>
        <v>0.8468709331131298</v>
      </c>
      <c r="J5" s="42">
        <f t="shared" si="3"/>
        <v>0.5637015314434669</v>
      </c>
    </row>
    <row r="6" spans="1:10" ht="12.75">
      <c r="A6" s="38">
        <v>0.5555555555555556</v>
      </c>
      <c r="B6" s="39">
        <v>231</v>
      </c>
      <c r="C6" s="39">
        <v>0.093</v>
      </c>
      <c r="D6" s="39">
        <v>12.06</v>
      </c>
      <c r="E6" s="39">
        <v>17.46</v>
      </c>
      <c r="F6" s="40">
        <v>117.2</v>
      </c>
      <c r="G6" s="41">
        <f t="shared" si="0"/>
        <v>0.5860000000000001</v>
      </c>
      <c r="H6" s="40">
        <f t="shared" si="1"/>
        <v>10.231560000000002</v>
      </c>
      <c r="I6" s="42">
        <f t="shared" si="2"/>
        <v>0.8483880597014927</v>
      </c>
      <c r="J6" s="42">
        <f t="shared" si="3"/>
        <v>0.5613741097612066</v>
      </c>
    </row>
    <row r="7" spans="1:10" ht="12.75">
      <c r="A7" s="38">
        <v>0.5569444444444445</v>
      </c>
      <c r="B7" s="39">
        <v>232</v>
      </c>
      <c r="C7" s="39">
        <v>0.093</v>
      </c>
      <c r="D7" s="39">
        <v>12.04</v>
      </c>
      <c r="E7" s="39">
        <v>17.39</v>
      </c>
      <c r="F7" s="40">
        <v>117.23</v>
      </c>
      <c r="G7" s="41">
        <f t="shared" si="0"/>
        <v>0.5861500000000001</v>
      </c>
      <c r="H7" s="40">
        <f t="shared" si="1"/>
        <v>10.193148500000001</v>
      </c>
      <c r="I7" s="42">
        <f t="shared" si="2"/>
        <v>0.8466070182724255</v>
      </c>
      <c r="J7" s="42">
        <f t="shared" si="3"/>
        <v>0.5580274378939563</v>
      </c>
    </row>
    <row r="8" spans="1:10" ht="12.75">
      <c r="A8" s="38">
        <v>0.5625</v>
      </c>
      <c r="B8" s="39">
        <v>232</v>
      </c>
      <c r="C8" s="39">
        <v>0.093</v>
      </c>
      <c r="D8" s="39">
        <v>11.95</v>
      </c>
      <c r="E8" s="39">
        <v>17.26</v>
      </c>
      <c r="F8" s="40">
        <v>117.29</v>
      </c>
      <c r="G8" s="41">
        <f t="shared" si="0"/>
        <v>0.58645</v>
      </c>
      <c r="H8" s="40">
        <f t="shared" si="1"/>
        <v>10.122127</v>
      </c>
      <c r="I8" s="42">
        <f t="shared" si="2"/>
        <v>0.8470399163179917</v>
      </c>
      <c r="J8" s="42">
        <f t="shared" si="3"/>
        <v>0.5538561364479051</v>
      </c>
    </row>
    <row r="9" spans="1:10" ht="12.75">
      <c r="A9" s="38">
        <v>0.5638888888888889</v>
      </c>
      <c r="B9" s="39">
        <v>234</v>
      </c>
      <c r="C9" s="39">
        <v>0.092</v>
      </c>
      <c r="D9" s="39">
        <v>11.95</v>
      </c>
      <c r="E9" s="39">
        <v>17.24</v>
      </c>
      <c r="F9" s="40">
        <v>117.29</v>
      </c>
      <c r="G9" s="41">
        <f t="shared" si="0"/>
        <v>0.58645</v>
      </c>
      <c r="H9" s="40">
        <f t="shared" si="1"/>
        <v>10.110398</v>
      </c>
      <c r="I9" s="42">
        <f t="shared" si="2"/>
        <v>0.846058410041841</v>
      </c>
      <c r="J9" s="42">
        <f t="shared" si="3"/>
        <v>0.555091044221479</v>
      </c>
    </row>
    <row r="10" spans="1:10" ht="12.75">
      <c r="A10" s="38">
        <v>0.5694444444444444</v>
      </c>
      <c r="B10" s="39">
        <v>232</v>
      </c>
      <c r="C10" s="39">
        <v>0.093</v>
      </c>
      <c r="D10" s="39">
        <v>11.94</v>
      </c>
      <c r="E10" s="39">
        <v>17.19</v>
      </c>
      <c r="F10" s="40">
        <v>117.04</v>
      </c>
      <c r="G10" s="41">
        <f t="shared" si="0"/>
        <v>0.5852</v>
      </c>
      <c r="H10" s="40">
        <f t="shared" si="1"/>
        <v>10.059588000000002</v>
      </c>
      <c r="I10" s="42">
        <f t="shared" si="2"/>
        <v>0.8425115577889449</v>
      </c>
      <c r="J10" s="42">
        <f t="shared" si="3"/>
        <v>0.553392658509455</v>
      </c>
    </row>
    <row r="11" spans="1:10" ht="12.75">
      <c r="A11" s="38">
        <v>0.5715277777777777</v>
      </c>
      <c r="B11" s="39">
        <v>232</v>
      </c>
      <c r="C11" s="39">
        <v>0.093</v>
      </c>
      <c r="D11" s="39">
        <v>11.9</v>
      </c>
      <c r="E11" s="39">
        <v>17.17</v>
      </c>
      <c r="F11" s="40">
        <v>116.9</v>
      </c>
      <c r="G11" s="41">
        <f t="shared" si="0"/>
        <v>0.5845</v>
      </c>
      <c r="H11" s="40">
        <f t="shared" si="1"/>
        <v>10.035865000000001</v>
      </c>
      <c r="I11" s="42">
        <f t="shared" si="2"/>
        <v>0.84335</v>
      </c>
      <c r="J11" s="42">
        <f t="shared" si="3"/>
        <v>0.5515387467556544</v>
      </c>
    </row>
    <row r="12" spans="1:10" ht="12.75">
      <c r="A12" s="38">
        <v>0.6104166666666667</v>
      </c>
      <c r="B12" s="39">
        <v>233</v>
      </c>
      <c r="C12" s="39">
        <v>0.094</v>
      </c>
      <c r="D12" s="39">
        <v>11.9</v>
      </c>
      <c r="E12" s="39">
        <v>17.11</v>
      </c>
      <c r="F12" s="40">
        <v>115.73</v>
      </c>
      <c r="G12" s="41">
        <f t="shared" si="0"/>
        <v>0.57865</v>
      </c>
      <c r="H12" s="40">
        <f t="shared" si="1"/>
        <v>9.9007015</v>
      </c>
      <c r="I12" s="42">
        <f t="shared" si="2"/>
        <v>0.8319917226890756</v>
      </c>
      <c r="J12" s="42">
        <f t="shared" si="3"/>
        <v>0.5433293763126655</v>
      </c>
    </row>
    <row r="13" spans="1:10" ht="12.75">
      <c r="A13" s="38">
        <v>0.6118055555555556</v>
      </c>
      <c r="F13" s="40">
        <v>-1.5</v>
      </c>
      <c r="G13" s="41">
        <f t="shared" si="0"/>
        <v>-0.0075</v>
      </c>
      <c r="I13" s="42"/>
      <c r="J13" s="42"/>
    </row>
    <row r="14" spans="7:10" ht="12.75">
      <c r="G14" s="41"/>
      <c r="I14" s="42"/>
      <c r="J14" s="42"/>
    </row>
    <row r="15" spans="9:10" ht="12.75">
      <c r="I15" s="42"/>
      <c r="J15" s="42"/>
    </row>
    <row r="16" spans="1:10" s="35" customFormat="1" ht="12.75">
      <c r="A16" s="34" t="s">
        <v>99</v>
      </c>
      <c r="B16" s="37">
        <f>AVERAGE(B4:B12)</f>
        <v>232.22222222222223</v>
      </c>
      <c r="C16" s="44">
        <f>AVERAGE(C4:C12)</f>
        <v>0.09333333333333332</v>
      </c>
      <c r="D16" s="37">
        <f>AVERAGE(D4:D12)</f>
        <v>12.07</v>
      </c>
      <c r="E16" s="37">
        <f>AVERAGE(E4:E12)</f>
        <v>17.333333333333332</v>
      </c>
      <c r="F16" s="37">
        <f>AVERAGE(F4:F12)-(F3+F13)/2</f>
        <v>117.34666666666666</v>
      </c>
      <c r="G16" s="44">
        <f>AVERAGE(G4:G12)-(G3+G13)/2</f>
        <v>0.5867333333333334</v>
      </c>
      <c r="H16" s="44">
        <f>AVERAGE(H4:H12)</f>
        <v>10.135493333333335</v>
      </c>
      <c r="I16" s="45">
        <f>AVERAGE(I4:I12)</f>
        <v>0.8399535224924382</v>
      </c>
      <c r="J16" s="45">
        <f>AVERAGE(J4:J12)</f>
        <v>0.5568514414084734</v>
      </c>
    </row>
    <row r="17" spans="1:10" ht="12.75">
      <c r="A17" s="34" t="s">
        <v>100</v>
      </c>
      <c r="B17" s="40">
        <f aca="true" t="shared" si="4" ref="B17:J17">MAX(B4:B12)-MIN(B4:B12)</f>
        <v>3</v>
      </c>
      <c r="C17" s="40">
        <f t="shared" si="4"/>
        <v>0.0040000000000000036</v>
      </c>
      <c r="D17" s="40">
        <f t="shared" si="4"/>
        <v>0.879999999999999</v>
      </c>
      <c r="E17" s="40">
        <f t="shared" si="4"/>
        <v>0.5600000000000023</v>
      </c>
      <c r="F17" s="40">
        <f t="shared" si="4"/>
        <v>1.5600000000000023</v>
      </c>
      <c r="G17" s="40">
        <f t="shared" si="4"/>
        <v>0.007800000000000029</v>
      </c>
      <c r="H17" s="40">
        <f t="shared" si="4"/>
        <v>0.40974350000000115</v>
      </c>
      <c r="I17" s="40">
        <f t="shared" si="4"/>
        <v>0.04162397519445027</v>
      </c>
      <c r="J17" s="40">
        <f t="shared" si="4"/>
        <v>0.028022555017806483</v>
      </c>
    </row>
    <row r="18" spans="1:10" ht="12.75">
      <c r="A18" s="34" t="s">
        <v>101</v>
      </c>
      <c r="B18" s="42">
        <f aca="true" t="shared" si="5" ref="B18:J18">B17/B16</f>
        <v>0.01291866028708134</v>
      </c>
      <c r="C18" s="42">
        <f t="shared" si="5"/>
        <v>0.0428571428571429</v>
      </c>
      <c r="D18" s="42">
        <f t="shared" si="5"/>
        <v>0.07290803645401814</v>
      </c>
      <c r="E18" s="42">
        <f t="shared" si="5"/>
        <v>0.03230769230769244</v>
      </c>
      <c r="F18" s="42">
        <f t="shared" si="5"/>
        <v>0.01329394387001479</v>
      </c>
      <c r="G18" s="42">
        <f t="shared" si="5"/>
        <v>0.013293943870014818</v>
      </c>
      <c r="H18" s="42">
        <f t="shared" si="5"/>
        <v>0.040426596567573865</v>
      </c>
      <c r="I18" s="42">
        <f t="shared" si="5"/>
        <v>0.04955509332342254</v>
      </c>
      <c r="J18" s="42">
        <f t="shared" si="5"/>
        <v>0.05032321537487192</v>
      </c>
    </row>
    <row r="19" spans="9:10" ht="12.75">
      <c r="I19" s="42"/>
      <c r="J19" s="42"/>
    </row>
    <row r="20" spans="1:10" ht="12.75">
      <c r="A20" s="38" t="s">
        <v>102</v>
      </c>
      <c r="I20" s="42"/>
      <c r="J20" s="42"/>
    </row>
    <row r="21" spans="1:10" ht="12.75">
      <c r="A21" s="38" t="s">
        <v>103</v>
      </c>
      <c r="D21" s="39">
        <f>3*42</f>
        <v>126</v>
      </c>
      <c r="E21" s="39" t="s">
        <v>104</v>
      </c>
      <c r="I21" s="42"/>
      <c r="J21" s="42"/>
    </row>
    <row r="22" spans="1:10" ht="12.75">
      <c r="A22" s="38" t="s">
        <v>105</v>
      </c>
      <c r="I22" s="42"/>
      <c r="J22" s="42"/>
    </row>
    <row r="23" spans="1:10" ht="12.75">
      <c r="A23" s="38" t="s">
        <v>106</v>
      </c>
      <c r="D23" s="39">
        <f>D21/3</f>
        <v>42</v>
      </c>
      <c r="I23" s="42"/>
      <c r="J23" s="42"/>
    </row>
    <row r="24" spans="1:10" ht="12.75">
      <c r="A24" s="38" t="s">
        <v>107</v>
      </c>
      <c r="D24" s="41">
        <f>G16/D23</f>
        <v>0.013969841269841273</v>
      </c>
      <c r="E24" s="39" t="s">
        <v>108</v>
      </c>
      <c r="F24" s="40" t="s">
        <v>109</v>
      </c>
      <c r="I24" s="42"/>
      <c r="J24" s="42"/>
    </row>
    <row r="25" spans="1:10" ht="12.75">
      <c r="A25" s="38" t="s">
        <v>110</v>
      </c>
      <c r="D25" s="43">
        <f>E16/3</f>
        <v>5.777777777777778</v>
      </c>
      <c r="E25" s="39" t="s">
        <v>20</v>
      </c>
      <c r="F25" s="40" t="s">
        <v>111</v>
      </c>
      <c r="I25" s="42"/>
      <c r="J25" s="42"/>
    </row>
    <row r="26" spans="1:10" ht="12.75">
      <c r="A26" s="38" t="s">
        <v>112</v>
      </c>
      <c r="D26" s="41">
        <f>D24*D25</f>
        <v>0.0807146384479718</v>
      </c>
      <c r="E26" s="39" t="s">
        <v>24</v>
      </c>
      <c r="F26" s="40" t="s">
        <v>113</v>
      </c>
      <c r="I26" s="42"/>
      <c r="J26" s="42"/>
    </row>
    <row r="27" spans="1:10" ht="12.75">
      <c r="A27" s="38" t="s">
        <v>114</v>
      </c>
      <c r="D27" s="43">
        <f>D26*D21</f>
        <v>10.170044444444446</v>
      </c>
      <c r="E27" s="39" t="s">
        <v>24</v>
      </c>
      <c r="F27" s="40" t="s">
        <v>115</v>
      </c>
      <c r="I27" s="42"/>
      <c r="J27" s="42"/>
    </row>
    <row r="28" spans="9:10" ht="12.75">
      <c r="I28" s="42"/>
      <c r="J28" s="42"/>
    </row>
    <row r="29" spans="9:10" ht="12.75">
      <c r="I29" s="42"/>
      <c r="J29" s="42"/>
    </row>
    <row r="30" spans="9:10" ht="12.75">
      <c r="I30" s="42"/>
      <c r="J30" s="42"/>
    </row>
    <row r="31" spans="9:10" ht="12.75">
      <c r="I31" s="42"/>
      <c r="J31" s="42"/>
    </row>
    <row r="32" spans="1:10" ht="12.75">
      <c r="A32" s="46"/>
      <c r="I32" s="42"/>
      <c r="J32" s="42"/>
    </row>
    <row r="33" spans="9:10" ht="12.75">
      <c r="I33" s="42"/>
      <c r="J33" s="42"/>
    </row>
    <row r="34" spans="9:10" ht="12.75">
      <c r="I34" s="42"/>
      <c r="J34" s="42"/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Marcel van der Steen</cp:lastModifiedBy>
  <dcterms:created xsi:type="dcterms:W3CDTF">2008-04-27T18:29:05Z</dcterms:created>
  <dcterms:modified xsi:type="dcterms:W3CDTF">2008-04-27T19:27:54Z</dcterms:modified>
  <cp:category/>
  <cp:version/>
  <cp:contentType/>
  <cp:contentStatus/>
</cp:coreProperties>
</file>